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Owner\Documents\BYRA\2016 BYRA\2016 Race Scoring\Fall Series 2016\"/>
    </mc:Choice>
  </mc:AlternateContent>
  <bookViews>
    <workbookView xWindow="0" yWindow="0" windowWidth="19200" windowHeight="7248" activeTab="4"/>
  </bookViews>
  <sheets>
    <sheet name="Finish Times" sheetId="15" r:id="rId1"/>
    <sheet name="Finish Times (2)" sheetId="16" state="hidden" r:id="rId2"/>
    <sheet name="Fleet 2" sheetId="12" r:id="rId3"/>
    <sheet name="Fleet 3" sheetId="13" r:id="rId4"/>
    <sheet name="Fleet 1" sheetId="11" r:id="rId5"/>
    <sheet name="Fleet 4" sheetId="14" r:id="rId6"/>
    <sheet name="Fleet 1 and 2 Combo" sheetId="17" r:id="rId7"/>
    <sheet name="Fleet 3 and 4 Combo" sheetId="18" r:id="rId8"/>
  </sheets>
  <definedNames>
    <definedName name="_xlnm.Print_Area" localSheetId="4">'Fleet 1'!$A$5:$O$29</definedName>
    <definedName name="_xlnm.Print_Area" localSheetId="6">'Fleet 1 and 2 Combo'!$A$5:$O$33</definedName>
    <definedName name="_xlnm.Print_Area" localSheetId="2">'Fleet 2'!$A$5:$O$30</definedName>
    <definedName name="_xlnm.Print_Area" localSheetId="3">'Fleet 3'!$A$5:$O$30</definedName>
    <definedName name="_xlnm.Print_Area" localSheetId="7">'Fleet 3 and 4 Combo'!$A$5:$O$29</definedName>
    <definedName name="_xlnm.Print_Area" localSheetId="5">'Fleet 4'!$A$5:$O$29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8" l="1"/>
  <c r="H22" i="18"/>
  <c r="J14" i="13"/>
  <c r="J15" i="13"/>
  <c r="I15" i="13"/>
  <c r="H15" i="13"/>
  <c r="I19" i="12" l="1"/>
  <c r="H19" i="12"/>
  <c r="J19" i="12" s="1"/>
  <c r="J21" i="18"/>
  <c r="I21" i="18"/>
  <c r="H21" i="18"/>
  <c r="I16" i="14"/>
  <c r="H16" i="14"/>
  <c r="J16" i="14" s="1"/>
  <c r="AK12" i="18" l="1"/>
  <c r="L12" i="18" l="1"/>
  <c r="K12" i="18"/>
  <c r="G15" i="14"/>
  <c r="G14" i="14"/>
  <c r="G13" i="14"/>
  <c r="I26" i="17"/>
  <c r="H26" i="17"/>
  <c r="J26" i="17" s="1"/>
  <c r="G20" i="18"/>
  <c r="H20" i="18" s="1"/>
  <c r="G19" i="18"/>
  <c r="G18" i="18"/>
  <c r="I18" i="12"/>
  <c r="H18" i="12"/>
  <c r="J18" i="12" s="1"/>
  <c r="M12" i="18" l="1"/>
  <c r="AK11" i="14"/>
  <c r="K11" i="14" s="1"/>
  <c r="AK12" i="14"/>
  <c r="K12" i="14" s="1"/>
  <c r="AK13" i="14"/>
  <c r="L13" i="14" s="1"/>
  <c r="AK14" i="14"/>
  <c r="K14" i="14" s="1"/>
  <c r="AK15" i="14"/>
  <c r="L15" i="14" s="1"/>
  <c r="AK16" i="14"/>
  <c r="AK17" i="14"/>
  <c r="AK18" i="14"/>
  <c r="AK19" i="14"/>
  <c r="AK20" i="14"/>
  <c r="AK21" i="14"/>
  <c r="AK22" i="14"/>
  <c r="AK23" i="14"/>
  <c r="AK10" i="14"/>
  <c r="L10" i="14" s="1"/>
  <c r="AK11" i="13"/>
  <c r="L11" i="13" s="1"/>
  <c r="AK12" i="13"/>
  <c r="AK13" i="13"/>
  <c r="L13" i="13" s="1"/>
  <c r="AK14" i="13"/>
  <c r="L14" i="13" s="1"/>
  <c r="AK15" i="13"/>
  <c r="AK16" i="13"/>
  <c r="AK17" i="13"/>
  <c r="AK18" i="13"/>
  <c r="AK19" i="13"/>
  <c r="AK20" i="13"/>
  <c r="AK21" i="13"/>
  <c r="AK22" i="13"/>
  <c r="AK23" i="13"/>
  <c r="AK24" i="13"/>
  <c r="AK10" i="13"/>
  <c r="AK11" i="12"/>
  <c r="AK12" i="12"/>
  <c r="L12" i="12" s="1"/>
  <c r="AK13" i="12"/>
  <c r="AK14" i="12"/>
  <c r="L14" i="12" s="1"/>
  <c r="AK15" i="12"/>
  <c r="AK16" i="12"/>
  <c r="L16" i="12" s="1"/>
  <c r="AK17" i="12"/>
  <c r="L17" i="12" s="1"/>
  <c r="AK18" i="12"/>
  <c r="AK19" i="12"/>
  <c r="AK20" i="12"/>
  <c r="AK21" i="12"/>
  <c r="AK22" i="12"/>
  <c r="AK23" i="12"/>
  <c r="AK24" i="12"/>
  <c r="AK10" i="12"/>
  <c r="L10" i="12" s="1"/>
  <c r="L19" i="12" l="1"/>
  <c r="K19" i="12"/>
  <c r="L16" i="14"/>
  <c r="K16" i="14"/>
  <c r="K18" i="12"/>
  <c r="L18" i="12"/>
  <c r="K10" i="14"/>
  <c r="M10" i="14" s="1"/>
  <c r="K15" i="14"/>
  <c r="M15" i="14" s="1"/>
  <c r="L14" i="14"/>
  <c r="M14" i="14" s="1"/>
  <c r="K13" i="14"/>
  <c r="M13" i="14" s="1"/>
  <c r="L12" i="14"/>
  <c r="M12" i="14" s="1"/>
  <c r="L11" i="14"/>
  <c r="M11" i="14" s="1"/>
  <c r="L12" i="13"/>
  <c r="L10" i="13"/>
  <c r="K11" i="13"/>
  <c r="M11" i="13" s="1"/>
  <c r="K13" i="13"/>
  <c r="M13" i="13" s="1"/>
  <c r="K10" i="13"/>
  <c r="K12" i="13"/>
  <c r="K14" i="13"/>
  <c r="M14" i="13" s="1"/>
  <c r="L11" i="12"/>
  <c r="K10" i="12"/>
  <c r="M10" i="12" s="1"/>
  <c r="L15" i="12"/>
  <c r="L13" i="12"/>
  <c r="K12" i="12"/>
  <c r="M12" i="12" s="1"/>
  <c r="K14" i="12"/>
  <c r="M14" i="12" s="1"/>
  <c r="K16" i="12"/>
  <c r="M16" i="12" s="1"/>
  <c r="K11" i="12"/>
  <c r="K13" i="12"/>
  <c r="K15" i="12"/>
  <c r="K17" i="12"/>
  <c r="M17" i="12" s="1"/>
  <c r="AK27" i="18"/>
  <c r="AK26" i="18"/>
  <c r="AK25" i="18"/>
  <c r="AK24" i="18"/>
  <c r="AK23" i="18"/>
  <c r="AK22" i="18"/>
  <c r="AK21" i="18"/>
  <c r="AK20" i="18"/>
  <c r="K20" i="18" s="1"/>
  <c r="AK19" i="18"/>
  <c r="K19" i="18" s="1"/>
  <c r="AK18" i="18"/>
  <c r="K18" i="18" s="1"/>
  <c r="AK17" i="18"/>
  <c r="AK16" i="18"/>
  <c r="K16" i="18" s="1"/>
  <c r="AK15" i="18"/>
  <c r="K15" i="18" s="1"/>
  <c r="AK14" i="18"/>
  <c r="L14" i="18" s="1"/>
  <c r="AK13" i="18"/>
  <c r="K13" i="18" s="1"/>
  <c r="AK11" i="18"/>
  <c r="K11" i="18" s="1"/>
  <c r="AK10" i="18"/>
  <c r="L10" i="18" s="1"/>
  <c r="U23" i="18"/>
  <c r="N23" i="18" s="1"/>
  <c r="V23" i="18" s="1"/>
  <c r="O23" i="18" s="1"/>
  <c r="I20" i="18"/>
  <c r="J20" i="18"/>
  <c r="I19" i="18"/>
  <c r="H19" i="18"/>
  <c r="J19" i="18" s="1"/>
  <c r="I18" i="18"/>
  <c r="H18" i="18"/>
  <c r="J18" i="18" s="1"/>
  <c r="I17" i="18"/>
  <c r="I16" i="18"/>
  <c r="I15" i="18"/>
  <c r="H15" i="18"/>
  <c r="J15" i="18" s="1"/>
  <c r="G17" i="18"/>
  <c r="H17" i="18" s="1"/>
  <c r="J17" i="18" s="1"/>
  <c r="G16" i="18"/>
  <c r="H16" i="18" s="1"/>
  <c r="J16" i="18" s="1"/>
  <c r="I14" i="18"/>
  <c r="H14" i="18"/>
  <c r="J14" i="18" s="1"/>
  <c r="I13" i="18"/>
  <c r="H13" i="18"/>
  <c r="J13" i="18" s="1"/>
  <c r="I12" i="18"/>
  <c r="G12" i="18"/>
  <c r="H12" i="18" s="1"/>
  <c r="J12" i="18" s="1"/>
  <c r="I11" i="18"/>
  <c r="H11" i="18"/>
  <c r="J11" i="18" s="1"/>
  <c r="J10" i="18"/>
  <c r="I10" i="18"/>
  <c r="H10" i="18"/>
  <c r="AC8" i="18"/>
  <c r="AK27" i="17"/>
  <c r="AK26" i="17"/>
  <c r="AK25" i="17"/>
  <c r="AK24" i="17"/>
  <c r="L24" i="17" s="1"/>
  <c r="AK23" i="17"/>
  <c r="L23" i="17" s="1"/>
  <c r="AK22" i="17"/>
  <c r="L22" i="17" s="1"/>
  <c r="AK21" i="17"/>
  <c r="L21" i="17" s="1"/>
  <c r="AK20" i="17"/>
  <c r="L20" i="17" s="1"/>
  <c r="AK19" i="17"/>
  <c r="AK18" i="17"/>
  <c r="L18" i="17" s="1"/>
  <c r="J22" i="17"/>
  <c r="J21" i="17"/>
  <c r="J20" i="17"/>
  <c r="J19" i="17"/>
  <c r="I25" i="17"/>
  <c r="H25" i="17"/>
  <c r="J25" i="17" s="1"/>
  <c r="I24" i="17"/>
  <c r="H24" i="17"/>
  <c r="J24" i="17" s="1"/>
  <c r="I23" i="17"/>
  <c r="H23" i="17"/>
  <c r="J23" i="17" s="1"/>
  <c r="I22" i="17"/>
  <c r="H22" i="17"/>
  <c r="I21" i="17"/>
  <c r="H21" i="17"/>
  <c r="I20" i="17"/>
  <c r="H20" i="17"/>
  <c r="I19" i="17"/>
  <c r="H19" i="17"/>
  <c r="I18" i="17"/>
  <c r="H18" i="17"/>
  <c r="J18" i="17" s="1"/>
  <c r="M27" i="17"/>
  <c r="AK17" i="17"/>
  <c r="J17" i="17"/>
  <c r="I17" i="17"/>
  <c r="H17" i="17"/>
  <c r="AK16" i="17"/>
  <c r="L16" i="17" s="1"/>
  <c r="J16" i="17"/>
  <c r="I16" i="17"/>
  <c r="H16" i="17"/>
  <c r="AK15" i="17"/>
  <c r="J15" i="17"/>
  <c r="I15" i="17"/>
  <c r="H15" i="17"/>
  <c r="AK14" i="17"/>
  <c r="L14" i="17" s="1"/>
  <c r="J14" i="17"/>
  <c r="I14" i="17"/>
  <c r="H14" i="17"/>
  <c r="AK13" i="17"/>
  <c r="J13" i="17"/>
  <c r="I13" i="17"/>
  <c r="H13" i="17"/>
  <c r="AK12" i="17"/>
  <c r="L12" i="17" s="1"/>
  <c r="J12" i="17"/>
  <c r="I12" i="17"/>
  <c r="H12" i="17"/>
  <c r="AK11" i="17"/>
  <c r="J11" i="17"/>
  <c r="I11" i="17"/>
  <c r="H11" i="17"/>
  <c r="AK10" i="17"/>
  <c r="L10" i="17" s="1"/>
  <c r="J10" i="17"/>
  <c r="I10" i="17"/>
  <c r="H10" i="17"/>
  <c r="AC8" i="17"/>
  <c r="M16" i="14" l="1"/>
  <c r="M19" i="12"/>
  <c r="L17" i="18"/>
  <c r="L21" i="18"/>
  <c r="K21" i="18"/>
  <c r="M15" i="12"/>
  <c r="M18" i="12"/>
  <c r="K26" i="17"/>
  <c r="L26" i="17"/>
  <c r="L11" i="18"/>
  <c r="M11" i="18" s="1"/>
  <c r="U11" i="18" s="1"/>
  <c r="N11" i="18" s="1"/>
  <c r="L13" i="18"/>
  <c r="M13" i="18" s="1"/>
  <c r="U13" i="18" s="1"/>
  <c r="N13" i="18" s="1"/>
  <c r="L15" i="18"/>
  <c r="M15" i="18" s="1"/>
  <c r="U15" i="18" s="1"/>
  <c r="N15" i="18" s="1"/>
  <c r="L18" i="18"/>
  <c r="M18" i="18" s="1"/>
  <c r="U18" i="18" s="1"/>
  <c r="N18" i="18" s="1"/>
  <c r="L20" i="18"/>
  <c r="M20" i="18" s="1"/>
  <c r="U20" i="18" s="1"/>
  <c r="N20" i="18" s="1"/>
  <c r="M12" i="13"/>
  <c r="M10" i="13"/>
  <c r="M13" i="12"/>
  <c r="M11" i="12"/>
  <c r="K21" i="17"/>
  <c r="M21" i="17" s="1"/>
  <c r="U21" i="17" s="1"/>
  <c r="N21" i="17" s="1"/>
  <c r="K10" i="18"/>
  <c r="M10" i="18" s="1"/>
  <c r="U10" i="18" s="1"/>
  <c r="N10" i="18" s="1"/>
  <c r="U12" i="18"/>
  <c r="N12" i="18" s="1"/>
  <c r="K14" i="18"/>
  <c r="M14" i="18" s="1"/>
  <c r="U14" i="18" s="1"/>
  <c r="N14" i="18" s="1"/>
  <c r="L16" i="18"/>
  <c r="M16" i="18" s="1"/>
  <c r="U16" i="18" s="1"/>
  <c r="N16" i="18" s="1"/>
  <c r="K17" i="18"/>
  <c r="L19" i="18"/>
  <c r="M19" i="18" s="1"/>
  <c r="U19" i="18" s="1"/>
  <c r="N19" i="18" s="1"/>
  <c r="U22" i="18"/>
  <c r="N22" i="18" s="1"/>
  <c r="V22" i="18" s="1"/>
  <c r="O22" i="18" s="1"/>
  <c r="L25" i="17"/>
  <c r="L19" i="17"/>
  <c r="K23" i="17"/>
  <c r="M23" i="17" s="1"/>
  <c r="U23" i="17" s="1"/>
  <c r="N23" i="17" s="1"/>
  <c r="K22" i="17"/>
  <c r="M22" i="17" s="1"/>
  <c r="U22" i="17" s="1"/>
  <c r="N22" i="17" s="1"/>
  <c r="K20" i="17"/>
  <c r="M20" i="17" s="1"/>
  <c r="U20" i="17" s="1"/>
  <c r="N20" i="17" s="1"/>
  <c r="K24" i="17"/>
  <c r="M24" i="17" s="1"/>
  <c r="U24" i="17" s="1"/>
  <c r="N24" i="17" s="1"/>
  <c r="L13" i="17"/>
  <c r="K18" i="17"/>
  <c r="M18" i="17" s="1"/>
  <c r="U18" i="17" s="1"/>
  <c r="N18" i="17" s="1"/>
  <c r="K19" i="17"/>
  <c r="K25" i="17"/>
  <c r="U27" i="17"/>
  <c r="N27" i="17" s="1"/>
  <c r="V27" i="17" s="1"/>
  <c r="O27" i="17" s="1"/>
  <c r="L17" i="17"/>
  <c r="K13" i="17"/>
  <c r="L11" i="17"/>
  <c r="L15" i="17"/>
  <c r="K11" i="17"/>
  <c r="K15" i="17"/>
  <c r="K10" i="17"/>
  <c r="M10" i="17" s="1"/>
  <c r="K12" i="17"/>
  <c r="M12" i="17" s="1"/>
  <c r="K14" i="17"/>
  <c r="M14" i="17" s="1"/>
  <c r="K16" i="17"/>
  <c r="M16" i="17" s="1"/>
  <c r="K17" i="17"/>
  <c r="AK11" i="11"/>
  <c r="AK12" i="11"/>
  <c r="AK13" i="11"/>
  <c r="AK14" i="11"/>
  <c r="AK15" i="11"/>
  <c r="AK16" i="11"/>
  <c r="AK17" i="11"/>
  <c r="AK10" i="11"/>
  <c r="M21" i="18" l="1"/>
  <c r="U21" i="18" s="1"/>
  <c r="N21" i="18" s="1"/>
  <c r="V21" i="18" s="1"/>
  <c r="O21" i="18" s="1"/>
  <c r="M17" i="17"/>
  <c r="U17" i="17" s="1"/>
  <c r="N17" i="17" s="1"/>
  <c r="M17" i="18"/>
  <c r="U17" i="18" s="1"/>
  <c r="N17" i="18" s="1"/>
  <c r="V15" i="18" s="1"/>
  <c r="O15" i="18" s="1"/>
  <c r="M26" i="17"/>
  <c r="U26" i="17" s="1"/>
  <c r="N26" i="17" s="1"/>
  <c r="M19" i="17"/>
  <c r="U19" i="17" s="1"/>
  <c r="N19" i="17" s="1"/>
  <c r="M25" i="17"/>
  <c r="U25" i="17" s="1"/>
  <c r="N25" i="17" s="1"/>
  <c r="M13" i="17"/>
  <c r="U13" i="17" s="1"/>
  <c r="N13" i="17" s="1"/>
  <c r="M15" i="17"/>
  <c r="U15" i="17" s="1"/>
  <c r="N15" i="17" s="1"/>
  <c r="V19" i="18"/>
  <c r="O19" i="18" s="1"/>
  <c r="V13" i="18"/>
  <c r="O13" i="18" s="1"/>
  <c r="V14" i="18"/>
  <c r="O14" i="18" s="1"/>
  <c r="M11" i="17"/>
  <c r="U11" i="17" s="1"/>
  <c r="N11" i="17" s="1"/>
  <c r="U16" i="17"/>
  <c r="N16" i="17" s="1"/>
  <c r="U14" i="17"/>
  <c r="N14" i="17" s="1"/>
  <c r="U12" i="17"/>
  <c r="N12" i="17" s="1"/>
  <c r="U10" i="17"/>
  <c r="N10" i="17" s="1"/>
  <c r="L16" i="11"/>
  <c r="L15" i="11"/>
  <c r="L13" i="11"/>
  <c r="L11" i="11"/>
  <c r="V12" i="18" l="1"/>
  <c r="O12" i="18" s="1"/>
  <c r="V10" i="18"/>
  <c r="O10" i="18" s="1"/>
  <c r="V11" i="18"/>
  <c r="O11" i="18" s="1"/>
  <c r="V16" i="18"/>
  <c r="O16" i="18" s="1"/>
  <c r="V20" i="18"/>
  <c r="O20" i="18" s="1"/>
  <c r="V18" i="18"/>
  <c r="O18" i="18" s="1"/>
  <c r="V17" i="18"/>
  <c r="O17" i="18" s="1"/>
  <c r="Y2" i="18"/>
  <c r="P19" i="18" s="1"/>
  <c r="V26" i="17"/>
  <c r="O26" i="17" s="1"/>
  <c r="V25" i="17"/>
  <c r="O25" i="17" s="1"/>
  <c r="V22" i="17"/>
  <c r="O22" i="17" s="1"/>
  <c r="V17" i="17"/>
  <c r="O17" i="17" s="1"/>
  <c r="V15" i="17"/>
  <c r="O15" i="17" s="1"/>
  <c r="V23" i="17"/>
  <c r="O23" i="17" s="1"/>
  <c r="V13" i="17"/>
  <c r="O13" i="17" s="1"/>
  <c r="V21" i="17"/>
  <c r="O21" i="17" s="1"/>
  <c r="V11" i="17"/>
  <c r="O11" i="17" s="1"/>
  <c r="V24" i="17"/>
  <c r="O24" i="17" s="1"/>
  <c r="V18" i="17"/>
  <c r="V19" i="17"/>
  <c r="O19" i="17" s="1"/>
  <c r="V10" i="17"/>
  <c r="O10" i="17" s="1"/>
  <c r="V20" i="17"/>
  <c r="O20" i="17" s="1"/>
  <c r="Y2" i="17"/>
  <c r="P26" i="17" s="1"/>
  <c r="V12" i="17"/>
  <c r="O12" i="17" s="1"/>
  <c r="V14" i="17"/>
  <c r="O14" i="17" s="1"/>
  <c r="V16" i="17"/>
  <c r="O16" i="17" s="1"/>
  <c r="K11" i="11"/>
  <c r="M11" i="11" s="1"/>
  <c r="K13" i="11"/>
  <c r="M13" i="11" s="1"/>
  <c r="K16" i="11"/>
  <c r="M16" i="11" s="1"/>
  <c r="L12" i="11"/>
  <c r="L14" i="11"/>
  <c r="K15" i="11"/>
  <c r="M15" i="11" s="1"/>
  <c r="K12" i="11"/>
  <c r="K14" i="11"/>
  <c r="P10" i="18" l="1"/>
  <c r="P22" i="18"/>
  <c r="Y16" i="18"/>
  <c r="R16" i="18" s="1"/>
  <c r="Y11" i="18"/>
  <c r="R11" i="18" s="1"/>
  <c r="P17" i="18"/>
  <c r="P13" i="18"/>
  <c r="Y13" i="18"/>
  <c r="R13" i="18" s="1"/>
  <c r="Y19" i="18"/>
  <c r="R19" i="18" s="1"/>
  <c r="Y15" i="18"/>
  <c r="R15" i="18" s="1"/>
  <c r="P16" i="18"/>
  <c r="P14" i="18"/>
  <c r="Y12" i="18"/>
  <c r="R12" i="18" s="1"/>
  <c r="Y21" i="18"/>
  <c r="R21" i="18" s="1"/>
  <c r="Y18" i="18"/>
  <c r="R18" i="18" s="1"/>
  <c r="P15" i="18"/>
  <c r="P11" i="18"/>
  <c r="P23" i="18"/>
  <c r="Y14" i="18"/>
  <c r="R14" i="18" s="1"/>
  <c r="Y23" i="18"/>
  <c r="R23" i="18" s="1"/>
  <c r="Y22" i="18"/>
  <c r="Z22" i="18" s="1"/>
  <c r="P20" i="18"/>
  <c r="Y17" i="18"/>
  <c r="R17" i="18" s="1"/>
  <c r="Y10" i="18"/>
  <c r="Z10" i="18" s="1"/>
  <c r="Y20" i="18"/>
  <c r="R20" i="18" s="1"/>
  <c r="P18" i="18"/>
  <c r="P12" i="18"/>
  <c r="P21" i="18"/>
  <c r="P16" i="17"/>
  <c r="P14" i="17"/>
  <c r="P12" i="17"/>
  <c r="Y27" i="17"/>
  <c r="R27" i="17" s="1"/>
  <c r="Y25" i="17"/>
  <c r="R25" i="17" s="1"/>
  <c r="Y23" i="17"/>
  <c r="R23" i="17" s="1"/>
  <c r="Y26" i="17"/>
  <c r="R26" i="17" s="1"/>
  <c r="Y24" i="17"/>
  <c r="R24" i="17" s="1"/>
  <c r="Y22" i="17"/>
  <c r="R22" i="17" s="1"/>
  <c r="Z21" i="18"/>
  <c r="Z18" i="18"/>
  <c r="P20" i="17"/>
  <c r="P24" i="17"/>
  <c r="P25" i="17"/>
  <c r="P22" i="17"/>
  <c r="P23" i="17"/>
  <c r="P21" i="17"/>
  <c r="P19" i="17"/>
  <c r="P18" i="17"/>
  <c r="Y20" i="17"/>
  <c r="R20" i="17" s="1"/>
  <c r="Y19" i="17"/>
  <c r="R19" i="17" s="1"/>
  <c r="Y15" i="17"/>
  <c r="Y13" i="17"/>
  <c r="Y11" i="17"/>
  <c r="Y21" i="17"/>
  <c r="R21" i="17" s="1"/>
  <c r="Y18" i="17"/>
  <c r="R18" i="17" s="1"/>
  <c r="Y17" i="17"/>
  <c r="Y16" i="17"/>
  <c r="Y14" i="17"/>
  <c r="Y12" i="17"/>
  <c r="Y10" i="17"/>
  <c r="P27" i="17"/>
  <c r="P17" i="17"/>
  <c r="P15" i="17"/>
  <c r="P13" i="17"/>
  <c r="P11" i="17"/>
  <c r="P10" i="17"/>
  <c r="M12" i="11"/>
  <c r="M14" i="11"/>
  <c r="M18" i="11"/>
  <c r="M19" i="11"/>
  <c r="G12" i="14"/>
  <c r="G12" i="13"/>
  <c r="Z15" i="18" l="1"/>
  <c r="R10" i="18"/>
  <c r="Z23" i="18"/>
  <c r="R22" i="18"/>
  <c r="Z20" i="18"/>
  <c r="Z13" i="18"/>
  <c r="Z16" i="18"/>
  <c r="Z11" i="18"/>
  <c r="Z19" i="18"/>
  <c r="Z12" i="18"/>
  <c r="Z17" i="18"/>
  <c r="Z14" i="18"/>
  <c r="Z20" i="17"/>
  <c r="R12" i="17"/>
  <c r="Z12" i="17"/>
  <c r="R16" i="17"/>
  <c r="Z16" i="17"/>
  <c r="Z18" i="17"/>
  <c r="Z27" i="17"/>
  <c r="R13" i="17"/>
  <c r="Z13" i="17"/>
  <c r="R10" i="17"/>
  <c r="Z10" i="17"/>
  <c r="R14" i="17"/>
  <c r="Z14" i="17"/>
  <c r="R17" i="17"/>
  <c r="Z17" i="17"/>
  <c r="Z21" i="17"/>
  <c r="R11" i="17"/>
  <c r="Z11" i="17"/>
  <c r="R15" i="17"/>
  <c r="Z15" i="17"/>
  <c r="Z19" i="17"/>
  <c r="Z26" i="17"/>
  <c r="I17" i="12"/>
  <c r="H17" i="12"/>
  <c r="J17" i="12" s="1"/>
  <c r="I16" i="12"/>
  <c r="H16" i="12"/>
  <c r="J16" i="12" s="1"/>
  <c r="I15" i="12"/>
  <c r="H15" i="12"/>
  <c r="J15" i="12" s="1"/>
  <c r="I14" i="12"/>
  <c r="H14" i="12"/>
  <c r="J14" i="12" s="1"/>
  <c r="I14" i="14" l="1"/>
  <c r="H14" i="14"/>
  <c r="J14" i="14" s="1"/>
  <c r="H16" i="11" l="1"/>
  <c r="J16" i="11"/>
  <c r="I16" i="11"/>
  <c r="G11" i="14" l="1"/>
  <c r="J17" i="11"/>
  <c r="U23" i="14" l="1"/>
  <c r="N23" i="14" s="1"/>
  <c r="V23" i="14" s="1"/>
  <c r="O23" i="14" s="1"/>
  <c r="U22" i="14"/>
  <c r="N22" i="14" s="1"/>
  <c r="U21" i="14"/>
  <c r="N21" i="14" s="1"/>
  <c r="V21" i="14" s="1"/>
  <c r="O21" i="14" s="1"/>
  <c r="U20" i="14"/>
  <c r="N20" i="14" s="1"/>
  <c r="U19" i="14"/>
  <c r="N19" i="14" s="1"/>
  <c r="V19" i="14" s="1"/>
  <c r="O19" i="14" s="1"/>
  <c r="U18" i="14"/>
  <c r="N18" i="14" s="1"/>
  <c r="U17" i="14"/>
  <c r="N17" i="14" s="1"/>
  <c r="V17" i="14" s="1"/>
  <c r="O17" i="14" s="1"/>
  <c r="U16" i="14"/>
  <c r="N16" i="14" s="1"/>
  <c r="I15" i="14"/>
  <c r="H15" i="14"/>
  <c r="J15" i="14" s="1"/>
  <c r="I13" i="14"/>
  <c r="H13" i="14"/>
  <c r="J13" i="14" s="1"/>
  <c r="I12" i="14"/>
  <c r="H12" i="14"/>
  <c r="J12" i="14" s="1"/>
  <c r="I11" i="14"/>
  <c r="H11" i="14"/>
  <c r="J11" i="14" s="1"/>
  <c r="I10" i="14"/>
  <c r="H10" i="14"/>
  <c r="J10" i="14" s="1"/>
  <c r="AC8" i="14"/>
  <c r="U24" i="13"/>
  <c r="N24" i="13" s="1"/>
  <c r="V24" i="13" s="1"/>
  <c r="O24" i="13" s="1"/>
  <c r="U23" i="13"/>
  <c r="N23" i="13" s="1"/>
  <c r="U22" i="13"/>
  <c r="N22" i="13" s="1"/>
  <c r="V22" i="13" s="1"/>
  <c r="O22" i="13" s="1"/>
  <c r="U21" i="13"/>
  <c r="N21" i="13" s="1"/>
  <c r="U20" i="13"/>
  <c r="N20" i="13" s="1"/>
  <c r="V20" i="13" s="1"/>
  <c r="O20" i="13" s="1"/>
  <c r="U19" i="13"/>
  <c r="N19" i="13" s="1"/>
  <c r="U18" i="13"/>
  <c r="N18" i="13" s="1"/>
  <c r="V18" i="13" s="1"/>
  <c r="O18" i="13" s="1"/>
  <c r="U17" i="13"/>
  <c r="N17" i="13" s="1"/>
  <c r="U16" i="13"/>
  <c r="N16" i="13" s="1"/>
  <c r="I14" i="13"/>
  <c r="H14" i="13"/>
  <c r="J13" i="13"/>
  <c r="I13" i="13"/>
  <c r="H13" i="13"/>
  <c r="I12" i="13"/>
  <c r="H12" i="13"/>
  <c r="J12" i="13" s="1"/>
  <c r="J11" i="13"/>
  <c r="I11" i="13"/>
  <c r="H11" i="13"/>
  <c r="J10" i="13"/>
  <c r="I10" i="13"/>
  <c r="H10" i="13"/>
  <c r="AC8" i="13"/>
  <c r="U24" i="12"/>
  <c r="N24" i="12" s="1"/>
  <c r="V24" i="12" s="1"/>
  <c r="O24" i="12" s="1"/>
  <c r="U23" i="12"/>
  <c r="N23" i="12" s="1"/>
  <c r="U22" i="12"/>
  <c r="N22" i="12" s="1"/>
  <c r="V22" i="12" s="1"/>
  <c r="O22" i="12" s="1"/>
  <c r="U21" i="12"/>
  <c r="N21" i="12" s="1"/>
  <c r="U20" i="12"/>
  <c r="N20" i="12" s="1"/>
  <c r="V20" i="12" s="1"/>
  <c r="O20" i="12" s="1"/>
  <c r="U19" i="12"/>
  <c r="N19" i="12" s="1"/>
  <c r="U18" i="12"/>
  <c r="N18" i="12" s="1"/>
  <c r="U17" i="12"/>
  <c r="N17" i="12" s="1"/>
  <c r="I13" i="12"/>
  <c r="H13" i="12"/>
  <c r="J13" i="12" s="1"/>
  <c r="J12" i="12"/>
  <c r="I12" i="12"/>
  <c r="H12" i="12"/>
  <c r="J11" i="12"/>
  <c r="I11" i="12"/>
  <c r="H11" i="12"/>
  <c r="J10" i="12"/>
  <c r="I10" i="12"/>
  <c r="H10" i="12"/>
  <c r="AC8" i="12"/>
  <c r="U16" i="12" l="1"/>
  <c r="U15" i="14"/>
  <c r="N15" i="14" s="1"/>
  <c r="U10" i="14"/>
  <c r="N10" i="14" s="1"/>
  <c r="U12" i="14"/>
  <c r="N12" i="14" s="1"/>
  <c r="U13" i="14"/>
  <c r="N13" i="14" s="1"/>
  <c r="U14" i="14"/>
  <c r="N14" i="14" s="1"/>
  <c r="U11" i="14"/>
  <c r="N11" i="14" s="1"/>
  <c r="U10" i="13"/>
  <c r="N10" i="13" s="1"/>
  <c r="U11" i="13"/>
  <c r="N11" i="13" s="1"/>
  <c r="U12" i="13"/>
  <c r="N12" i="13" s="1"/>
  <c r="U13" i="13"/>
  <c r="N13" i="13" s="1"/>
  <c r="U14" i="13"/>
  <c r="N14" i="13" s="1"/>
  <c r="U15" i="13"/>
  <c r="N15" i="13" s="1"/>
  <c r="U10" i="12"/>
  <c r="N10" i="12" s="1"/>
  <c r="U11" i="12"/>
  <c r="N11" i="12" s="1"/>
  <c r="U12" i="12"/>
  <c r="N12" i="12" s="1"/>
  <c r="U13" i="12"/>
  <c r="N13" i="12" s="1"/>
  <c r="U14" i="12"/>
  <c r="N14" i="12" s="1"/>
  <c r="U15" i="12"/>
  <c r="N15" i="12" s="1"/>
  <c r="V18" i="14"/>
  <c r="O18" i="14" s="1"/>
  <c r="V20" i="14"/>
  <c r="O20" i="14" s="1"/>
  <c r="V22" i="14"/>
  <c r="O22" i="14" s="1"/>
  <c r="V17" i="13"/>
  <c r="O17" i="13" s="1"/>
  <c r="V19" i="13"/>
  <c r="O19" i="13" s="1"/>
  <c r="V21" i="13"/>
  <c r="O21" i="13" s="1"/>
  <c r="V23" i="13"/>
  <c r="O23" i="13" s="1"/>
  <c r="V21" i="12"/>
  <c r="O21" i="12" s="1"/>
  <c r="V23" i="12"/>
  <c r="O23" i="12" s="1"/>
  <c r="M23" i="11"/>
  <c r="U23" i="11" s="1"/>
  <c r="N23" i="11" s="1"/>
  <c r="V23" i="11" s="1"/>
  <c r="O23" i="11" s="1"/>
  <c r="M22" i="11"/>
  <c r="U22" i="11" s="1"/>
  <c r="N22" i="11" s="1"/>
  <c r="M21" i="11"/>
  <c r="U21" i="11" s="1"/>
  <c r="N21" i="11" s="1"/>
  <c r="V21" i="11" s="1"/>
  <c r="O21" i="11" s="1"/>
  <c r="U20" i="11"/>
  <c r="U19" i="11"/>
  <c r="U18" i="11"/>
  <c r="N18" i="11" s="1"/>
  <c r="U17" i="11"/>
  <c r="N17" i="11" s="1"/>
  <c r="J15" i="11"/>
  <c r="I15" i="11"/>
  <c r="H15" i="11"/>
  <c r="J14" i="11"/>
  <c r="I14" i="11"/>
  <c r="H14" i="11"/>
  <c r="J13" i="11"/>
  <c r="I13" i="11"/>
  <c r="H13" i="11"/>
  <c r="J12" i="11"/>
  <c r="I12" i="11"/>
  <c r="H12" i="11"/>
  <c r="J11" i="11"/>
  <c r="I11" i="11"/>
  <c r="H11" i="11"/>
  <c r="J10" i="11"/>
  <c r="I10" i="11"/>
  <c r="H10" i="11"/>
  <c r="AC8" i="11"/>
  <c r="N19" i="11" l="1"/>
  <c r="N16" i="12"/>
  <c r="V16" i="12" s="1"/>
  <c r="O16" i="12" s="1"/>
  <c r="Y2" i="14"/>
  <c r="V14" i="14"/>
  <c r="O14" i="14" s="1"/>
  <c r="V12" i="14"/>
  <c r="O12" i="14" s="1"/>
  <c r="V10" i="14"/>
  <c r="O10" i="14" s="1"/>
  <c r="V11" i="14"/>
  <c r="O11" i="14" s="1"/>
  <c r="V16" i="14"/>
  <c r="O16" i="14" s="1"/>
  <c r="V13" i="14"/>
  <c r="O13" i="14" s="1"/>
  <c r="V15" i="14"/>
  <c r="O15" i="14" s="1"/>
  <c r="V13" i="13"/>
  <c r="O13" i="13" s="1"/>
  <c r="V11" i="13"/>
  <c r="O11" i="13" s="1"/>
  <c r="V15" i="13"/>
  <c r="O15" i="13" s="1"/>
  <c r="V16" i="13"/>
  <c r="O16" i="13" s="1"/>
  <c r="Y2" i="13"/>
  <c r="P18" i="13" s="1"/>
  <c r="V14" i="13"/>
  <c r="O14" i="13" s="1"/>
  <c r="V12" i="13"/>
  <c r="O12" i="13" s="1"/>
  <c r="V10" i="13"/>
  <c r="O10" i="13" s="1"/>
  <c r="V14" i="12"/>
  <c r="O14" i="12" s="1"/>
  <c r="U11" i="11"/>
  <c r="N11" i="11" s="1"/>
  <c r="U12" i="11"/>
  <c r="N12" i="11" s="1"/>
  <c r="U13" i="11"/>
  <c r="N13" i="11" s="1"/>
  <c r="U14" i="11"/>
  <c r="N14" i="11" s="1"/>
  <c r="U15" i="11"/>
  <c r="N15" i="11" s="1"/>
  <c r="U16" i="11"/>
  <c r="N16" i="11" s="1"/>
  <c r="V22" i="11"/>
  <c r="O22" i="11" s="1"/>
  <c r="V19" i="12" l="1"/>
  <c r="O19" i="12" s="1"/>
  <c r="P17" i="14"/>
  <c r="P16" i="14"/>
  <c r="P15" i="13"/>
  <c r="V11" i="12"/>
  <c r="O11" i="12" s="1"/>
  <c r="V18" i="12"/>
  <c r="O18" i="12" s="1"/>
  <c r="V10" i="12"/>
  <c r="V13" i="12"/>
  <c r="O13" i="12" s="1"/>
  <c r="V15" i="12"/>
  <c r="O15" i="12" s="1"/>
  <c r="V12" i="12"/>
  <c r="O12" i="12" s="1"/>
  <c r="V17" i="12"/>
  <c r="O17" i="12" s="1"/>
  <c r="Y20" i="14"/>
  <c r="R20" i="14" s="1"/>
  <c r="Y11" i="14"/>
  <c r="Z11" i="14" s="1"/>
  <c r="V18" i="11"/>
  <c r="O18" i="11" s="1"/>
  <c r="V19" i="11"/>
  <c r="O19" i="11" s="1"/>
  <c r="P15" i="14"/>
  <c r="Y14" i="14"/>
  <c r="R14" i="14" s="1"/>
  <c r="P24" i="13"/>
  <c r="Y2" i="12"/>
  <c r="P19" i="12" s="1"/>
  <c r="Y19" i="13"/>
  <c r="Z19" i="13" s="1"/>
  <c r="P22" i="14"/>
  <c r="Y12" i="14"/>
  <c r="Z12" i="14" s="1"/>
  <c r="Y21" i="14"/>
  <c r="R21" i="14" s="1"/>
  <c r="P14" i="14"/>
  <c r="P18" i="14"/>
  <c r="Y10" i="14"/>
  <c r="Z10" i="14" s="1"/>
  <c r="Y13" i="14"/>
  <c r="Z13" i="14" s="1"/>
  <c r="Y17" i="14"/>
  <c r="R17" i="14" s="1"/>
  <c r="Y16" i="14"/>
  <c r="P21" i="14"/>
  <c r="P19" i="14"/>
  <c r="P20" i="14"/>
  <c r="P10" i="14"/>
  <c r="P11" i="14"/>
  <c r="P12" i="14"/>
  <c r="P13" i="14"/>
  <c r="Y15" i="14"/>
  <c r="Z15" i="14" s="1"/>
  <c r="Y19" i="14"/>
  <c r="Z19" i="14" s="1"/>
  <c r="Y23" i="14"/>
  <c r="R23" i="14" s="1"/>
  <c r="Y18" i="14"/>
  <c r="Z18" i="14" s="1"/>
  <c r="Y22" i="14"/>
  <c r="R22" i="14" s="1"/>
  <c r="P23" i="14"/>
  <c r="P11" i="13"/>
  <c r="P21" i="13"/>
  <c r="P13" i="13"/>
  <c r="Y20" i="13"/>
  <c r="R20" i="13" s="1"/>
  <c r="P17" i="13"/>
  <c r="P10" i="13"/>
  <c r="P12" i="13"/>
  <c r="P14" i="13"/>
  <c r="Y16" i="13"/>
  <c r="Z16" i="13" s="1"/>
  <c r="Y24" i="13"/>
  <c r="Z24" i="13" s="1"/>
  <c r="Y23" i="13"/>
  <c r="R23" i="13" s="1"/>
  <c r="P22" i="13"/>
  <c r="P16" i="13"/>
  <c r="P19" i="13"/>
  <c r="P23" i="13"/>
  <c r="Y10" i="13"/>
  <c r="R10" i="13" s="1"/>
  <c r="Y11" i="13"/>
  <c r="Z11" i="13" s="1"/>
  <c r="Y12" i="13"/>
  <c r="R12" i="13" s="1"/>
  <c r="Y13" i="13"/>
  <c r="R13" i="13" s="1"/>
  <c r="Y14" i="13"/>
  <c r="R14" i="13" s="1"/>
  <c r="Y15" i="13"/>
  <c r="R15" i="13" s="1"/>
  <c r="Y18" i="13"/>
  <c r="R18" i="13" s="1"/>
  <c r="Y22" i="13"/>
  <c r="Z22" i="13" s="1"/>
  <c r="Y17" i="13"/>
  <c r="R17" i="13" s="1"/>
  <c r="Y21" i="13"/>
  <c r="Z21" i="13" s="1"/>
  <c r="P20" i="13"/>
  <c r="Z16" i="14" l="1"/>
  <c r="R16" i="14"/>
  <c r="P23" i="12"/>
  <c r="P18" i="12"/>
  <c r="Z20" i="14"/>
  <c r="R11" i="14"/>
  <c r="P20" i="12"/>
  <c r="Z17" i="14"/>
  <c r="Y24" i="12"/>
  <c r="R24" i="12" s="1"/>
  <c r="P12" i="12"/>
  <c r="Y14" i="12"/>
  <c r="R14" i="12" s="1"/>
  <c r="R13" i="14"/>
  <c r="Z12" i="13"/>
  <c r="Y23" i="12"/>
  <c r="Z23" i="12" s="1"/>
  <c r="Y16" i="12"/>
  <c r="Z16" i="12" s="1"/>
  <c r="P10" i="12"/>
  <c r="Y17" i="12"/>
  <c r="R17" i="12" s="1"/>
  <c r="Y10" i="12"/>
  <c r="R10" i="12" s="1"/>
  <c r="P16" i="12"/>
  <c r="Y13" i="12"/>
  <c r="Z14" i="14"/>
  <c r="R19" i="13"/>
  <c r="P24" i="12"/>
  <c r="Y19" i="12"/>
  <c r="R19" i="12" s="1"/>
  <c r="Y20" i="12"/>
  <c r="R20" i="12" s="1"/>
  <c r="P13" i="12"/>
  <c r="P11" i="12"/>
  <c r="P21" i="12"/>
  <c r="P22" i="12"/>
  <c r="Y18" i="12"/>
  <c r="Y12" i="12"/>
  <c r="Z12" i="12" s="1"/>
  <c r="P14" i="12"/>
  <c r="P17" i="12"/>
  <c r="Y22" i="12"/>
  <c r="Z20" i="13"/>
  <c r="P15" i="12"/>
  <c r="Y21" i="12"/>
  <c r="Y11" i="12"/>
  <c r="Y15" i="12"/>
  <c r="Z21" i="14"/>
  <c r="Z13" i="13"/>
  <c r="R11" i="13"/>
  <c r="Z23" i="14"/>
  <c r="R12" i="14"/>
  <c r="R15" i="14"/>
  <c r="R10" i="14"/>
  <c r="R19" i="14"/>
  <c r="Z22" i="14"/>
  <c r="R18" i="14"/>
  <c r="Z23" i="13"/>
  <c r="R16" i="13"/>
  <c r="R22" i="13"/>
  <c r="R21" i="13"/>
  <c r="Z15" i="13"/>
  <c r="R24" i="13"/>
  <c r="Z18" i="13"/>
  <c r="Z17" i="13"/>
  <c r="Z14" i="13"/>
  <c r="Z10" i="13"/>
  <c r="R12" i="12" l="1"/>
  <c r="Z18" i="12"/>
  <c r="R18" i="12"/>
  <c r="Z14" i="12"/>
  <c r="Z10" i="12"/>
  <c r="Z24" i="12"/>
  <c r="Z17" i="12"/>
  <c r="R16" i="12"/>
  <c r="R23" i="12"/>
  <c r="Z20" i="12"/>
  <c r="Z13" i="12"/>
  <c r="R13" i="12"/>
  <c r="Z19" i="12"/>
  <c r="R22" i="12"/>
  <c r="Z22" i="12"/>
  <c r="R15" i="12"/>
  <c r="Z15" i="12"/>
  <c r="R21" i="12"/>
  <c r="Z21" i="12"/>
  <c r="R11" i="12"/>
  <c r="Z11" i="12"/>
  <c r="L10" i="11"/>
  <c r="K10" i="11"/>
  <c r="M10" i="11" l="1"/>
  <c r="U10" i="11" s="1"/>
  <c r="N10" i="11" s="1"/>
  <c r="V17" i="11" l="1"/>
  <c r="O17" i="11" s="1"/>
  <c r="V16" i="11"/>
  <c r="O16" i="11" s="1"/>
  <c r="V14" i="11"/>
  <c r="O14" i="11" s="1"/>
  <c r="V13" i="11"/>
  <c r="O13" i="11" s="1"/>
  <c r="V15" i="11"/>
  <c r="O15" i="11" s="1"/>
  <c r="V11" i="11"/>
  <c r="O11" i="11" s="1"/>
  <c r="V12" i="11"/>
  <c r="O12" i="11" s="1"/>
  <c r="V20" i="11"/>
  <c r="V10" i="11"/>
  <c r="Y2" i="11"/>
  <c r="P19" i="11" l="1"/>
  <c r="P14" i="11"/>
  <c r="P22" i="11"/>
  <c r="P18" i="11"/>
  <c r="P12" i="11"/>
  <c r="P21" i="11"/>
  <c r="P23" i="11"/>
  <c r="Y12" i="11"/>
  <c r="Y11" i="11"/>
  <c r="Y21" i="11"/>
  <c r="Y19" i="11"/>
  <c r="Y23" i="11"/>
  <c r="Y17" i="11"/>
  <c r="P15" i="11"/>
  <c r="P13" i="11"/>
  <c r="P17" i="11"/>
  <c r="P16" i="11"/>
  <c r="P11" i="11"/>
  <c r="Y15" i="11"/>
  <c r="Y22" i="11"/>
  <c r="Y10" i="11"/>
  <c r="Y14" i="11"/>
  <c r="Y13" i="11"/>
  <c r="Y16" i="11"/>
  <c r="Y20" i="11"/>
  <c r="Z20" i="11" s="1"/>
  <c r="Y18" i="11"/>
  <c r="P10" i="11"/>
  <c r="R18" i="11" l="1"/>
  <c r="Z18" i="11"/>
  <c r="Z16" i="11"/>
  <c r="R16" i="11"/>
  <c r="Z14" i="11"/>
  <c r="R14" i="11"/>
  <c r="R22" i="11"/>
  <c r="Z22" i="11"/>
  <c r="Z23" i="11"/>
  <c r="R23" i="11"/>
  <c r="R21" i="11"/>
  <c r="Z21" i="11"/>
  <c r="Z12" i="11"/>
  <c r="R12" i="11"/>
  <c r="R13" i="11"/>
  <c r="Z13" i="11"/>
  <c r="R10" i="11"/>
  <c r="Z10" i="11"/>
  <c r="R15" i="11"/>
  <c r="Z15" i="11"/>
  <c r="R17" i="11"/>
  <c r="Z17" i="11"/>
  <c r="R19" i="11"/>
  <c r="Z19" i="11"/>
  <c r="R11" i="11"/>
  <c r="Z11" i="11"/>
</calcChain>
</file>

<file path=xl/comments1.xml><?xml version="1.0" encoding="utf-8"?>
<comments xmlns="http://schemas.openxmlformats.org/spreadsheetml/2006/main">
  <authors>
    <author>Michael Maloney</author>
  </authors>
  <commentList>
    <comment ref="G11" authorId="0" shapeId="0">
      <text>
        <r>
          <rPr>
            <b/>
            <sz val="9"/>
            <color indexed="81"/>
            <rFont val="Tahoma"/>
            <family val="2"/>
          </rPr>
          <t>Michael Maloney:</t>
        </r>
        <r>
          <rPr>
            <sz val="9"/>
            <color indexed="81"/>
            <rFont val="Tahoma"/>
            <family val="2"/>
          </rPr>
          <t xml:space="preserve">
Includes 3 sec per mile for Roller Furler</t>
        </r>
      </text>
    </comment>
  </commentList>
</comments>
</file>

<file path=xl/comments2.xml><?xml version="1.0" encoding="utf-8"?>
<comments xmlns="http://schemas.openxmlformats.org/spreadsheetml/2006/main">
  <authors>
    <author>Michael Maloney</author>
  </authors>
  <commentList>
    <comment ref="G10" authorId="0" shapeId="0">
      <text>
        <r>
          <rPr>
            <sz val="9"/>
            <color indexed="81"/>
            <rFont val="Tahoma"/>
            <family val="2"/>
          </rPr>
          <t xml:space="preserve">New ABC
</t>
        </r>
      </text>
    </comment>
    <comment ref="G12" authorId="0" shapeId="0">
      <text>
        <r>
          <rPr>
            <b/>
            <sz val="9"/>
            <color indexed="81"/>
            <rFont val="Tahoma"/>
            <family val="2"/>
          </rPr>
          <t>Michael Maloney:</t>
        </r>
        <r>
          <rPr>
            <sz val="9"/>
            <color indexed="81"/>
            <rFont val="Tahoma"/>
            <family val="2"/>
          </rPr>
          <t xml:space="preserve">
Includes 3 sec for roller furler</t>
        </r>
      </text>
    </comment>
  </commentList>
</comments>
</file>

<file path=xl/comments3.xml><?xml version="1.0" encoding="utf-8"?>
<comments xmlns="http://schemas.openxmlformats.org/spreadsheetml/2006/main">
  <authors>
    <author>Michael Maloney</author>
  </authors>
  <commentList>
    <comment ref="G13" authorId="0" shapeId="0">
      <text>
        <r>
          <rPr>
            <b/>
            <sz val="9"/>
            <color indexed="81"/>
            <rFont val="Tahoma"/>
            <family val="2"/>
          </rPr>
          <t>Michael Maloney:</t>
        </r>
        <r>
          <rPr>
            <sz val="9"/>
            <color indexed="81"/>
            <rFont val="Tahoma"/>
            <family val="2"/>
          </rPr>
          <t xml:space="preserve">
188 plus 6 sec for roller furler and fixed prop</t>
        </r>
      </text>
    </comment>
    <comment ref="G14" authorId="0" shapeId="0">
      <text>
        <r>
          <rPr>
            <b/>
            <sz val="9"/>
            <color indexed="81"/>
            <rFont val="Tahoma"/>
            <family val="2"/>
          </rPr>
          <t>Michael Maloney:</t>
        </r>
        <r>
          <rPr>
            <sz val="9"/>
            <color indexed="81"/>
            <rFont val="Tahoma"/>
            <family val="2"/>
          </rPr>
          <t xml:space="preserve">
plus 6 secs for fixed prop and furler</t>
        </r>
      </text>
    </comment>
    <comment ref="G15" authorId="0" shapeId="0">
      <text>
        <r>
          <rPr>
            <b/>
            <sz val="9"/>
            <color indexed="81"/>
            <rFont val="Tahoma"/>
            <family val="2"/>
          </rPr>
          <t>Furling main, genoa, fixed prop.  Shoal draft model</t>
        </r>
      </text>
    </comment>
    <comment ref="G16" authorId="0" shapeId="0">
      <text>
        <r>
          <rPr>
            <b/>
            <sz val="9"/>
            <color indexed="81"/>
            <rFont val="Tahoma"/>
            <family val="2"/>
          </rPr>
          <t>Furling main, genoa, fixed prop.  Shoal draft model</t>
        </r>
      </text>
    </comment>
  </commentList>
</comments>
</file>

<file path=xl/comments4.xml><?xml version="1.0" encoding="utf-8"?>
<comments xmlns="http://schemas.openxmlformats.org/spreadsheetml/2006/main">
  <authors>
    <author>Michael Maloney</author>
  </authors>
  <commentList>
    <comment ref="G19" authorId="0" shapeId="0">
      <text>
        <r>
          <rPr>
            <b/>
            <sz val="9"/>
            <color indexed="81"/>
            <rFont val="Tahoma"/>
            <family val="2"/>
          </rPr>
          <t>Michael Maloney:</t>
        </r>
        <r>
          <rPr>
            <sz val="9"/>
            <color indexed="81"/>
            <rFont val="Tahoma"/>
            <family val="2"/>
          </rPr>
          <t xml:space="preserve">
Includes 3 sec per mile for Roller Furler</t>
        </r>
      </text>
    </comment>
  </commentList>
</comments>
</file>

<file path=xl/comments5.xml><?xml version="1.0" encoding="utf-8"?>
<comments xmlns="http://schemas.openxmlformats.org/spreadsheetml/2006/main">
  <authors>
    <author>Michael Maloney</author>
  </authors>
  <commentList>
    <comment ref="G10" authorId="0" shapeId="0">
      <text>
        <r>
          <rPr>
            <sz val="9"/>
            <color indexed="81"/>
            <rFont val="Tahoma"/>
            <family val="2"/>
          </rPr>
          <t xml:space="preserve">New ABC
</t>
        </r>
      </text>
    </comment>
    <comment ref="G12" authorId="0" shapeId="0">
      <text>
        <r>
          <rPr>
            <b/>
            <sz val="9"/>
            <color indexed="81"/>
            <rFont val="Tahoma"/>
            <family val="2"/>
          </rPr>
          <t>Michael Maloney:</t>
        </r>
        <r>
          <rPr>
            <sz val="9"/>
            <color indexed="81"/>
            <rFont val="Tahoma"/>
            <family val="2"/>
          </rPr>
          <t xml:space="preserve">
Includes 3 sec for roller furler</t>
        </r>
      </text>
    </comment>
    <comment ref="G18" authorId="0" shapeId="0">
      <text>
        <r>
          <rPr>
            <b/>
            <sz val="9"/>
            <color indexed="81"/>
            <rFont val="Tahoma"/>
            <family val="2"/>
          </rPr>
          <t>Michael Maloney:</t>
        </r>
        <r>
          <rPr>
            <sz val="9"/>
            <color indexed="81"/>
            <rFont val="Tahoma"/>
            <family val="2"/>
          </rPr>
          <t xml:space="preserve">
188 plus 6 sec for roller furler and fixed prop</t>
        </r>
      </text>
    </comment>
    <comment ref="G19" authorId="0" shapeId="0">
      <text>
        <r>
          <rPr>
            <b/>
            <sz val="9"/>
            <color indexed="81"/>
            <rFont val="Tahoma"/>
            <family val="2"/>
          </rPr>
          <t>Michael Maloney:</t>
        </r>
        <r>
          <rPr>
            <sz val="9"/>
            <color indexed="81"/>
            <rFont val="Tahoma"/>
            <family val="2"/>
          </rPr>
          <t xml:space="preserve">
plus 6 secs for fixed prop and furler</t>
        </r>
      </text>
    </comment>
    <comment ref="G20" authorId="0" shapeId="0">
      <text>
        <r>
          <rPr>
            <b/>
            <sz val="9"/>
            <color indexed="81"/>
            <rFont val="Tahoma"/>
            <family val="2"/>
          </rPr>
          <t>Furling main, genoa, fixed prop.  Shoal draft model</t>
        </r>
      </text>
    </comment>
    <comment ref="G21" authorId="0" shapeId="0">
      <text>
        <r>
          <rPr>
            <b/>
            <sz val="9"/>
            <color indexed="81"/>
            <rFont val="Tahoma"/>
            <family val="2"/>
          </rPr>
          <t>Furling main, genoa, fixed prop.  Shoal draft model</t>
        </r>
      </text>
    </comment>
  </commentList>
</comments>
</file>

<file path=xl/sharedStrings.xml><?xml version="1.0" encoding="utf-8"?>
<sst xmlns="http://schemas.openxmlformats.org/spreadsheetml/2006/main" count="1066" uniqueCount="169">
  <si>
    <t>RACE #</t>
  </si>
  <si>
    <t>FLEET TWO</t>
  </si>
  <si>
    <t>(2) Multiply time in minutes by circled TCF</t>
  </si>
  <si>
    <t>(1) Convert seconds to decimal equivalent - see reference sheet</t>
  </si>
  <si>
    <t>(In case race timer has issues, use clock time as backup and do the math)</t>
  </si>
  <si>
    <t xml:space="preserve">Race Start Time </t>
  </si>
  <si>
    <t>n</t>
  </si>
  <si>
    <t>s</t>
  </si>
  <si>
    <t>Cal 25</t>
  </si>
  <si>
    <t>Majical</t>
  </si>
  <si>
    <t>Witten</t>
  </si>
  <si>
    <t>Alerion 20</t>
  </si>
  <si>
    <t>Destiny</t>
  </si>
  <si>
    <t>Whitt</t>
  </si>
  <si>
    <t>Harbor 20</t>
  </si>
  <si>
    <t>Stoic</t>
  </si>
  <si>
    <t>Hemler</t>
  </si>
  <si>
    <t>StressLess</t>
  </si>
  <si>
    <t>Breckenridge</t>
  </si>
  <si>
    <t>C&amp;C 25</t>
  </si>
  <si>
    <t>Severence</t>
  </si>
  <si>
    <t>Evans</t>
  </si>
  <si>
    <t>Pearson 26</t>
  </si>
  <si>
    <t>Fools Game</t>
  </si>
  <si>
    <t>Hull</t>
  </si>
  <si>
    <t>S-2 6.7</t>
  </si>
  <si>
    <t>Gotcha</t>
  </si>
  <si>
    <t>Theis</t>
  </si>
  <si>
    <t>N for non</t>
  </si>
  <si>
    <t>Behind</t>
  </si>
  <si>
    <t>Place</t>
  </si>
  <si>
    <t>Time</t>
  </si>
  <si>
    <t>Min.dd</t>
  </si>
  <si>
    <t>Sec.</t>
  </si>
  <si>
    <t>Min.</t>
  </si>
  <si>
    <t>Non-Spin*</t>
  </si>
  <si>
    <t>Spin*</t>
  </si>
  <si>
    <t>Sail #</t>
  </si>
  <si>
    <t>Boat</t>
  </si>
  <si>
    <t>Guest?</t>
  </si>
  <si>
    <t>Initials</t>
  </si>
  <si>
    <t>Boat Name</t>
  </si>
  <si>
    <t>Skipper</t>
  </si>
  <si>
    <t>Winner</t>
  </si>
  <si>
    <t>S for Spin</t>
  </si>
  <si>
    <t>Adj.(2)</t>
  </si>
  <si>
    <t>Calc(1)</t>
  </si>
  <si>
    <t>Finish Time</t>
  </si>
  <si>
    <t>TCF</t>
  </si>
  <si>
    <t>Handicap</t>
  </si>
  <si>
    <t>Finish Calculations</t>
  </si>
  <si>
    <t>Blackwater Yacht Racing Association - Sign Up Sheet Fleet II (TWO)</t>
  </si>
  <si>
    <t>&lt;-----Minutes after first start</t>
  </si>
  <si>
    <t>H'cap</t>
  </si>
  <si>
    <t>to win</t>
  </si>
  <si>
    <t>Approx</t>
  </si>
  <si>
    <t>Winner Adj Time</t>
  </si>
  <si>
    <t>/observed</t>
  </si>
  <si>
    <t>new tcf =</t>
  </si>
  <si>
    <t>Test</t>
  </si>
  <si>
    <t>should =</t>
  </si>
  <si>
    <t>Bandit</t>
  </si>
  <si>
    <t>Boogie Board</t>
  </si>
  <si>
    <t>Catch 22</t>
  </si>
  <si>
    <t>J22</t>
  </si>
  <si>
    <t>Rascal</t>
  </si>
  <si>
    <t>Boat Ahead</t>
  </si>
  <si>
    <t/>
  </si>
  <si>
    <t>Cliborne</t>
  </si>
  <si>
    <t>Maloney</t>
  </si>
  <si>
    <t>Phillip</t>
  </si>
  <si>
    <t>Schiable</t>
  </si>
  <si>
    <t># of Boats</t>
  </si>
  <si>
    <t>J/24</t>
  </si>
  <si>
    <t>Forqurean</t>
  </si>
  <si>
    <t>Dark Horse</t>
  </si>
  <si>
    <t>Sampson</t>
  </si>
  <si>
    <t>Time Warp</t>
  </si>
  <si>
    <t>Hardy</t>
  </si>
  <si>
    <t>Blunder Bus</t>
  </si>
  <si>
    <t>Gietl</t>
  </si>
  <si>
    <t>VX One</t>
  </si>
  <si>
    <t>Blackwater Yacht Racing Association - Sign Up Sheet Fleet I (ONE)</t>
  </si>
  <si>
    <t>FLEET ONE</t>
  </si>
  <si>
    <t>Perdue</t>
  </si>
  <si>
    <t>Miss Virginia</t>
  </si>
  <si>
    <t>Hunter 23.5</t>
  </si>
  <si>
    <t>Schraw</t>
  </si>
  <si>
    <t>Second Wind</t>
  </si>
  <si>
    <t>Ericson 23</t>
  </si>
  <si>
    <t>Short</t>
  </si>
  <si>
    <t>Norse Raider</t>
  </si>
  <si>
    <t>Miekina</t>
  </si>
  <si>
    <t>Tundra Swan</t>
  </si>
  <si>
    <t>Hunter 23</t>
  </si>
  <si>
    <t>Gillespie</t>
  </si>
  <si>
    <t>Catalina 22</t>
  </si>
  <si>
    <t>Nash</t>
  </si>
  <si>
    <t>C22</t>
  </si>
  <si>
    <t>FLEET THREE</t>
  </si>
  <si>
    <t>Blackwater Yacht Racing Association - Sign Up Sheet Fleet IV (FOUR)</t>
  </si>
  <si>
    <t>FLEET FOUR</t>
  </si>
  <si>
    <t>DeMestro</t>
  </si>
  <si>
    <t>Little Wing</t>
  </si>
  <si>
    <t>Beneteau 29</t>
  </si>
  <si>
    <t>Oginz</t>
  </si>
  <si>
    <t>Alarming</t>
  </si>
  <si>
    <t>S-2 9.2</t>
  </si>
  <si>
    <t>Forrester</t>
  </si>
  <si>
    <t>Got to Go</t>
  </si>
  <si>
    <t>Catalina 30</t>
  </si>
  <si>
    <t>Gearhart</t>
  </si>
  <si>
    <t>More Mischief</t>
  </si>
  <si>
    <t>Beneteau 285</t>
  </si>
  <si>
    <t>Tunnell</t>
  </si>
  <si>
    <t>Janet Anne</t>
  </si>
  <si>
    <t>Catalina 25</t>
  </si>
  <si>
    <t>Conover</t>
  </si>
  <si>
    <t>Columbia 29</t>
  </si>
  <si>
    <t>Haddon</t>
  </si>
  <si>
    <t>Colgate 26</t>
  </si>
  <si>
    <t>Fox Trot</t>
  </si>
  <si>
    <t>Johnson</t>
  </si>
  <si>
    <t>Felicite</t>
  </si>
  <si>
    <t>S-2 27 IB</t>
  </si>
  <si>
    <t>Willaway</t>
  </si>
  <si>
    <t>Circle Back</t>
  </si>
  <si>
    <t>Blackwater Yacht Racing Association - Sign Up Sheet Fleet III (THREE)</t>
  </si>
  <si>
    <t>Hunter 356</t>
  </si>
  <si>
    <t>Synergy</t>
  </si>
  <si>
    <t>Gobble</t>
  </si>
  <si>
    <t>Control Z to run macro</t>
  </si>
  <si>
    <t>BOAT</t>
  </si>
  <si>
    <t>FLEET</t>
  </si>
  <si>
    <t>SAIL #</t>
  </si>
  <si>
    <t>SKIPPER</t>
  </si>
  <si>
    <t>MINUTES</t>
  </si>
  <si>
    <t>UDO</t>
  </si>
  <si>
    <t>BILL</t>
  </si>
  <si>
    <t>BOAT NAME</t>
  </si>
  <si>
    <t>MUST</t>
  </si>
  <si>
    <t>BE</t>
  </si>
  <si>
    <t>IN ALPHA</t>
  </si>
  <si>
    <t>ORDER</t>
  </si>
  <si>
    <t>SECONDS</t>
  </si>
  <si>
    <t>FLEET 1</t>
  </si>
  <si>
    <t>FLEET 4</t>
  </si>
  <si>
    <t>FLEET 3</t>
  </si>
  <si>
    <t>FLEET 2</t>
  </si>
  <si>
    <t>FLEET THREE &amp; FOUR</t>
  </si>
  <si>
    <t>FLEET ONE &amp; TWO</t>
  </si>
  <si>
    <t>Blackwater Yacht Racing Association - Race Results Fleets I &amp; 2</t>
  </si>
  <si>
    <t>Blackwater Yacht Racing Association - Race Results Fleets 3 &amp; 4</t>
  </si>
  <si>
    <t>Courageous</t>
  </si>
  <si>
    <t>Fever</t>
  </si>
  <si>
    <t>Te Aroha</t>
  </si>
  <si>
    <t>Firing</t>
  </si>
  <si>
    <t>Fenix</t>
  </si>
  <si>
    <t>San Juan 24</t>
  </si>
  <si>
    <t>Always Something</t>
  </si>
  <si>
    <t>ie ie bang bang</t>
  </si>
  <si>
    <t>Hunter 365</t>
  </si>
  <si>
    <t xml:space="preserve"> </t>
  </si>
  <si>
    <t>King Bills Revenge</t>
  </si>
  <si>
    <t>San Juan 21</t>
  </si>
  <si>
    <t>Kiing Bill</t>
  </si>
  <si>
    <t>DNF</t>
  </si>
  <si>
    <t>Date: Sept 24, 2016      2016 Fall Series Race 3       RC: Cliborne</t>
  </si>
  <si>
    <t>RC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</si>
</sst>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8" x14ac:knownFonts="1">
    <font>
      <sz val="11"/>
      <color theme="1"/>
      <name val="Calibri"/>
      <family val="2"/>
      <scheme val="minor"/>
    </font>
    <font>
      <b/>
      <sz val="11"/>
      <color theme="1"/>
      <name val="Calibri"/>
      <family val="2"/>
      <scheme val="minor"/>
    </font>
    <font>
      <sz val="20"/>
      <color theme="1"/>
      <name val="Calibri"/>
      <family val="2"/>
      <scheme val="minor"/>
    </font>
    <font>
      <sz val="48"/>
      <color theme="1"/>
      <name val="Calibri"/>
      <family val="2"/>
      <scheme val="minor"/>
    </font>
    <font>
      <sz val="14"/>
      <color indexed="8"/>
      <name val="Calibri"/>
      <family val="2"/>
    </font>
    <font>
      <b/>
      <sz val="24"/>
      <name val="Calibri"/>
      <family val="2"/>
    </font>
    <font>
      <b/>
      <sz val="16"/>
      <color indexed="8"/>
      <name val="Calibri"/>
      <family val="2"/>
    </font>
    <font>
      <sz val="14"/>
      <name val="Calibri"/>
      <family val="2"/>
    </font>
    <font>
      <b/>
      <sz val="11"/>
      <color indexed="8"/>
      <name val="Calibri"/>
      <family val="2"/>
    </font>
    <font>
      <b/>
      <sz val="14"/>
      <color indexed="8"/>
      <name val="Calibri"/>
      <family val="2"/>
    </font>
    <font>
      <b/>
      <sz val="12"/>
      <color indexed="10"/>
      <name val="Calibri"/>
      <family val="2"/>
    </font>
    <font>
      <b/>
      <sz val="24"/>
      <color indexed="8"/>
      <name val="Calibri"/>
      <family val="2"/>
    </font>
    <font>
      <b/>
      <sz val="14"/>
      <color rgb="FFFF0000"/>
      <name val="Calibri"/>
      <family val="2"/>
      <scheme val="minor"/>
    </font>
    <font>
      <b/>
      <sz val="9"/>
      <color indexed="81"/>
      <name val="Tahoma"/>
      <family val="2"/>
    </font>
    <font>
      <sz val="9"/>
      <color indexed="81"/>
      <name val="Tahoma"/>
      <family val="2"/>
    </font>
    <font>
      <b/>
      <sz val="8"/>
      <color indexed="8"/>
      <name val="Calibri"/>
      <family val="2"/>
    </font>
    <font>
      <sz val="14"/>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1">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xf numFmtId="0" fontId="2" fillId="0" borderId="0" xfId="0" applyFont="1"/>
    <xf numFmtId="0" fontId="4" fillId="0" borderId="0" xfId="0" applyFont="1" applyAlignment="1">
      <alignment horizontal="center"/>
    </xf>
    <xf numFmtId="0" fontId="4" fillId="0" borderId="0" xfId="0" applyFont="1" applyAlignment="1">
      <alignment horizontal="centerContinuous"/>
    </xf>
    <xf numFmtId="0" fontId="4" fillId="0" borderId="0" xfId="0" applyFont="1"/>
    <xf numFmtId="0" fontId="0" fillId="0" borderId="0" xfId="0" applyBorder="1"/>
    <xf numFmtId="0" fontId="5" fillId="0" borderId="0" xfId="0" applyFont="1" applyAlignment="1">
      <alignment horizontal="center"/>
    </xf>
    <xf numFmtId="0" fontId="6" fillId="0" borderId="0" xfId="0" applyFont="1" applyAlignment="1">
      <alignment horizontal="centerContinuous"/>
    </xf>
    <xf numFmtId="0" fontId="7" fillId="0" borderId="1" xfId="0" applyFont="1" applyBorder="1" applyAlignment="1">
      <alignment horizontal="center"/>
    </xf>
    <xf numFmtId="2" fontId="7" fillId="0" borderId="1" xfId="0" applyNumberFormat="1" applyFont="1" applyBorder="1"/>
    <xf numFmtId="0" fontId="7" fillId="0" borderId="1" xfId="0" applyFont="1" applyBorder="1"/>
    <xf numFmtId="164" fontId="7" fillId="0" borderId="1" xfId="0" applyNumberFormat="1" applyFont="1" applyBorder="1" applyAlignment="1">
      <alignment horizontal="center"/>
    </xf>
    <xf numFmtId="0" fontId="9" fillId="0" borderId="1" xfId="0" applyFont="1" applyBorder="1" applyAlignment="1">
      <alignment horizontal="center"/>
    </xf>
    <xf numFmtId="0" fontId="8" fillId="0" borderId="1" xfId="0" applyFont="1" applyBorder="1"/>
    <xf numFmtId="0" fontId="9" fillId="0" borderId="1" xfId="0" applyFont="1" applyBorder="1"/>
    <xf numFmtId="0" fontId="12" fillId="2" borderId="0" xfId="0" applyFont="1" applyFill="1" applyAlignment="1">
      <alignment horizontal="center"/>
    </xf>
    <xf numFmtId="0" fontId="8" fillId="0" borderId="8" xfId="0" applyFont="1" applyBorder="1" applyAlignment="1">
      <alignment horizontal="center"/>
    </xf>
    <xf numFmtId="164" fontId="0" fillId="0" borderId="0" xfId="0" applyNumberFormat="1" applyFill="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15" fillId="3" borderId="10" xfId="0" applyFont="1" applyFill="1" applyBorder="1" applyAlignment="1">
      <alignment horizontal="center"/>
    </xf>
    <xf numFmtId="0" fontId="7" fillId="0" borderId="1" xfId="0" applyFont="1" applyBorder="1" applyAlignment="1">
      <alignment horizontal="right"/>
    </xf>
    <xf numFmtId="2" fontId="7" fillId="0" borderId="12" xfId="0" applyNumberFormat="1" applyFont="1" applyBorder="1" applyAlignment="1">
      <alignment horizontal="center"/>
    </xf>
    <xf numFmtId="2" fontId="7" fillId="0" borderId="8" xfId="0" applyNumberFormat="1" applyFont="1" applyBorder="1" applyAlignment="1">
      <alignment horizontal="center"/>
    </xf>
    <xf numFmtId="1" fontId="16" fillId="0" borderId="13" xfId="0" applyNumberFormat="1" applyFont="1" applyBorder="1" applyAlignment="1">
      <alignment horizontal="center"/>
    </xf>
    <xf numFmtId="0" fontId="0" fillId="4" borderId="0" xfId="0" applyFill="1" applyAlignment="1">
      <alignment horizontal="left"/>
    </xf>
    <xf numFmtId="0" fontId="0" fillId="4" borderId="0" xfId="0" applyFill="1"/>
    <xf numFmtId="0" fontId="0" fillId="4" borderId="0" xfId="0" applyFill="1" applyBorder="1" applyAlignment="1">
      <alignment horizontal="left"/>
    </xf>
    <xf numFmtId="0" fontId="0" fillId="4" borderId="0" xfId="0" applyFill="1" applyBorder="1"/>
    <xf numFmtId="0" fontId="0" fillId="4" borderId="0" xfId="0" applyFill="1" applyBorder="1" applyAlignment="1">
      <alignment horizontal="center"/>
    </xf>
    <xf numFmtId="0" fontId="0" fillId="4" borderId="0" xfId="0" applyFill="1" applyAlignment="1">
      <alignment horizontal="center"/>
    </xf>
    <xf numFmtId="0" fontId="1" fillId="4" borderId="3" xfId="0" applyFont="1" applyFill="1" applyBorder="1" applyAlignment="1">
      <alignment horizontal="center"/>
    </xf>
    <xf numFmtId="0" fontId="0" fillId="4" borderId="2" xfId="0" applyFill="1" applyBorder="1" applyAlignment="1">
      <alignment horizontal="center"/>
    </xf>
    <xf numFmtId="0" fontId="0" fillId="4" borderId="0" xfId="0" quotePrefix="1" applyFill="1" applyBorder="1" applyAlignment="1">
      <alignment horizontal="center"/>
    </xf>
    <xf numFmtId="0" fontId="8" fillId="4" borderId="3" xfId="0" applyFont="1" applyFill="1" applyBorder="1" applyAlignment="1">
      <alignment horizontal="center"/>
    </xf>
    <xf numFmtId="2" fontId="0" fillId="4" borderId="0" xfId="0" applyNumberFormat="1" applyFill="1" applyBorder="1"/>
    <xf numFmtId="0" fontId="0" fillId="4" borderId="1" xfId="0" applyFill="1" applyBorder="1" applyAlignment="1">
      <alignment horizontal="center"/>
    </xf>
    <xf numFmtId="164" fontId="0" fillId="4" borderId="1" xfId="0" applyNumberFormat="1" applyFill="1" applyBorder="1" applyAlignment="1">
      <alignment horizontal="center"/>
    </xf>
    <xf numFmtId="2" fontId="0" fillId="4" borderId="1" xfId="0" applyNumberFormat="1" applyFill="1" applyBorder="1" applyAlignment="1">
      <alignment horizontal="center"/>
    </xf>
    <xf numFmtId="0" fontId="16" fillId="4" borderId="0" xfId="0" applyFont="1" applyFill="1" applyAlignment="1">
      <alignment horizontal="center"/>
    </xf>
    <xf numFmtId="0" fontId="16" fillId="4" borderId="0" xfId="0" applyFont="1" applyFill="1" applyBorder="1" applyAlignment="1">
      <alignment horizontal="center"/>
    </xf>
    <xf numFmtId="0" fontId="0" fillId="3" borderId="0" xfId="0" applyFill="1"/>
    <xf numFmtId="0" fontId="0" fillId="3" borderId="0" xfId="0" applyFill="1" applyBorder="1"/>
    <xf numFmtId="0" fontId="1" fillId="3" borderId="4" xfId="0" applyFont="1" applyFill="1" applyBorder="1" applyAlignment="1">
      <alignment horizontal="center"/>
    </xf>
    <xf numFmtId="0" fontId="0" fillId="3" borderId="0" xfId="0" applyFill="1" applyAlignment="1">
      <alignment horizontal="center"/>
    </xf>
    <xf numFmtId="0" fontId="0" fillId="3" borderId="0" xfId="0" quotePrefix="1" applyFill="1"/>
    <xf numFmtId="0" fontId="0" fillId="5" borderId="0" xfId="0" applyFill="1"/>
    <xf numFmtId="0" fontId="0" fillId="5" borderId="0" xfId="0" applyFill="1" applyBorder="1"/>
    <xf numFmtId="0" fontId="0" fillId="4" borderId="0" xfId="0" quotePrefix="1" applyFill="1"/>
    <xf numFmtId="0" fontId="8" fillId="0" borderId="1" xfId="0" applyFont="1" applyBorder="1" applyAlignment="1">
      <alignment horizontal="center"/>
    </xf>
    <xf numFmtId="0" fontId="0" fillId="6" borderId="0" xfId="0" applyFill="1"/>
    <xf numFmtId="0" fontId="0" fillId="6" borderId="0" xfId="0" applyFill="1" applyBorder="1"/>
    <xf numFmtId="0" fontId="1" fillId="6" borderId="5" xfId="0" applyFont="1" applyFill="1" applyBorder="1" applyAlignment="1">
      <alignment horizontal="center"/>
    </xf>
    <xf numFmtId="0" fontId="8" fillId="6" borderId="0" xfId="0" applyFont="1" applyFill="1" applyBorder="1" applyAlignment="1">
      <alignment horizontal="center"/>
    </xf>
    <xf numFmtId="1" fontId="16" fillId="6" borderId="13" xfId="0" applyNumberFormat="1" applyFont="1" applyFill="1" applyBorder="1" applyAlignment="1">
      <alignment horizontal="center"/>
    </xf>
    <xf numFmtId="0" fontId="16" fillId="0" borderId="0" xfId="0" applyFont="1" applyFill="1" applyAlignment="1">
      <alignment horizontal="center"/>
    </xf>
    <xf numFmtId="2" fontId="16" fillId="0" borderId="1" xfId="0" applyNumberFormat="1" applyFont="1" applyFill="1" applyBorder="1" applyAlignment="1">
      <alignment horizontal="center"/>
    </xf>
    <xf numFmtId="0" fontId="16" fillId="0" borderId="0" xfId="0" applyFont="1" applyFill="1" applyBorder="1" applyAlignment="1">
      <alignment horizontal="center"/>
    </xf>
    <xf numFmtId="0" fontId="0" fillId="0" borderId="0" xfId="0" applyAlignment="1">
      <alignment horizontal="centerContinuous"/>
    </xf>
    <xf numFmtId="0" fontId="7" fillId="0" borderId="1" xfId="0" applyFont="1" applyBorder="1" applyProtection="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left"/>
      <protection locked="0"/>
    </xf>
    <xf numFmtId="0" fontId="7" fillId="2" borderId="1" xfId="0"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17" fillId="2" borderId="14" xfId="0" applyFont="1" applyFill="1" applyBorder="1" applyAlignment="1">
      <alignment horizontal="center"/>
    </xf>
    <xf numFmtId="0" fontId="17" fillId="2" borderId="15" xfId="0" applyFont="1" applyFill="1" applyBorder="1" applyAlignment="1">
      <alignment horizontal="center"/>
    </xf>
    <xf numFmtId="0" fontId="17" fillId="2" borderId="16" xfId="0" applyFont="1" applyFill="1" applyBorder="1" applyAlignment="1">
      <alignment horizontal="center"/>
    </xf>
    <xf numFmtId="0" fontId="7" fillId="2" borderId="1" xfId="0" applyFont="1" applyFill="1" applyBorder="1"/>
    <xf numFmtId="0" fontId="7" fillId="2" borderId="1" xfId="0" applyFont="1" applyFill="1" applyBorder="1" applyAlignment="1">
      <alignment horizontal="center"/>
    </xf>
    <xf numFmtId="0" fontId="7" fillId="7" borderId="1" xfId="0" applyFont="1" applyFill="1" applyBorder="1"/>
    <xf numFmtId="0" fontId="7" fillId="7" borderId="1" xfId="0" applyFont="1" applyFill="1" applyBorder="1" applyAlignment="1">
      <alignment horizontal="center"/>
    </xf>
    <xf numFmtId="0" fontId="7" fillId="7" borderId="1" xfId="0" applyFont="1" applyFill="1" applyBorder="1" applyAlignment="1"/>
    <xf numFmtId="0" fontId="7" fillId="7" borderId="1" xfId="0" applyFont="1" applyFill="1" applyBorder="1" applyAlignment="1" applyProtection="1">
      <alignment horizontal="center"/>
      <protection locked="0"/>
    </xf>
    <xf numFmtId="0" fontId="7" fillId="8" borderId="1" xfId="0" applyFont="1" applyFill="1" applyBorder="1"/>
    <xf numFmtId="0" fontId="7" fillId="8"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9" borderId="1" xfId="0" applyFont="1" applyFill="1" applyBorder="1"/>
    <xf numFmtId="0" fontId="7" fillId="9" borderId="1" xfId="0" applyFont="1" applyFill="1" applyBorder="1" applyAlignment="1">
      <alignment horizontal="center"/>
    </xf>
    <xf numFmtId="0" fontId="7" fillId="9" borderId="1" xfId="0" applyFont="1" applyFill="1" applyBorder="1" applyAlignment="1" applyProtection="1">
      <alignment horizontal="center"/>
      <protection locked="0"/>
    </xf>
    <xf numFmtId="0" fontId="16" fillId="2" borderId="1" xfId="0" applyFont="1" applyFill="1" applyBorder="1" applyAlignment="1">
      <alignment horizontal="center"/>
    </xf>
    <xf numFmtId="0" fontId="7" fillId="8" borderId="1" xfId="0" applyFont="1" applyFill="1" applyBorder="1" applyAlignment="1">
      <alignment horizontal="left"/>
    </xf>
    <xf numFmtId="0" fontId="7" fillId="7" borderId="1" xfId="0" applyFont="1" applyFill="1" applyBorder="1" applyAlignment="1">
      <alignment horizontal="left"/>
    </xf>
    <xf numFmtId="0" fontId="7" fillId="2" borderId="1" xfId="0" applyFont="1" applyFill="1" applyBorder="1" applyAlignment="1">
      <alignment horizontal="left"/>
    </xf>
    <xf numFmtId="0" fontId="7" fillId="9" borderId="1" xfId="0" applyFont="1" applyFill="1" applyBorder="1" applyAlignment="1">
      <alignment horizontal="left"/>
    </xf>
    <xf numFmtId="0" fontId="7" fillId="0" borderId="1" xfId="0" applyFont="1" applyFill="1" applyBorder="1" applyAlignment="1" applyProtection="1">
      <alignment horizontal="center"/>
      <protection locked="0"/>
    </xf>
    <xf numFmtId="0" fontId="8" fillId="0" borderId="1" xfId="0" applyFont="1" applyBorder="1" applyAlignment="1">
      <alignment horizontal="center"/>
    </xf>
    <xf numFmtId="0" fontId="8" fillId="0" borderId="1" xfId="0" applyFont="1" applyBorder="1" applyAlignment="1">
      <alignment horizontal="center"/>
    </xf>
    <xf numFmtId="2" fontId="0" fillId="0" borderId="1" xfId="0" applyNumberFormat="1" applyBorder="1" applyAlignment="1">
      <alignment horizontal="center"/>
    </xf>
    <xf numFmtId="0" fontId="11" fillId="3" borderId="0" xfId="0" applyFont="1" applyFill="1" applyAlignment="1">
      <alignment horizontal="center"/>
    </xf>
    <xf numFmtId="0" fontId="9" fillId="3" borderId="0" xfId="0" applyFont="1" applyFill="1" applyAlignment="1">
      <alignment horizontal="center"/>
    </xf>
    <xf numFmtId="0" fontId="10" fillId="3" borderId="7" xfId="0" applyFont="1" applyFill="1" applyBorder="1" applyAlignment="1">
      <alignment horizontal="center"/>
    </xf>
    <xf numFmtId="0" fontId="1" fillId="4" borderId="6"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0" fontId="8"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117230</xdr:colOff>
      <xdr:row>3</xdr:row>
      <xdr:rowOff>205154</xdr:rowOff>
    </xdr:from>
    <xdr:to>
      <xdr:col>23</xdr:col>
      <xdr:colOff>61056</xdr:colOff>
      <xdr:row>38</xdr:row>
      <xdr:rowOff>97692</xdr:rowOff>
    </xdr:to>
    <xdr:sp macro="" textlink="">
      <xdr:nvSpPr>
        <xdr:cNvPr id="2" name="TextBox 1"/>
        <xdr:cNvSpPr txBox="1"/>
      </xdr:nvSpPr>
      <xdr:spPr>
        <a:xfrm>
          <a:off x="7111999" y="234462"/>
          <a:ext cx="8423519" cy="746369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file will automatically compute adjusted finish times and finish orders for BYRA racing.</a:t>
          </a:r>
          <a:r>
            <a:rPr lang="en-US" sz="1100" baseline="0"/>
            <a:t>  </a:t>
          </a:r>
          <a:r>
            <a:rPr lang="en-US" sz="1100"/>
            <a:t>The file contains 7 sheets; one sheet for each of fleets 1 through 4, a "combo"</a:t>
          </a:r>
          <a:r>
            <a:rPr lang="en-US" sz="1100" baseline="0"/>
            <a:t> sheet for fleets 1 and 2, a "combo" sheet for fleets 3 and 4, and a sheet for finish times.</a:t>
          </a:r>
        </a:p>
        <a:p>
          <a:endParaRPr lang="en-US" sz="1100" baseline="0"/>
        </a:p>
        <a:p>
          <a:r>
            <a:rPr lang="en-US" sz="1100" baseline="0"/>
            <a:t>All of the sheets, with the exception of "Finish Times", are protected in order to minimize the risk of accidentally overwriting formulas.  When sheets need to be edited the protection needs to be suspended.   To unprotect a sheet, click on the "REVIEW" banner, then click "Unprotect Sheet".  If prompted, type the password BYRA in caps.  When edits are complete, reverse this process and re-enter the password when prompted; BYRA in all caps.</a:t>
          </a:r>
        </a:p>
        <a:p>
          <a:endParaRPr lang="en-US" sz="1100" baseline="0"/>
        </a:p>
        <a:p>
          <a:r>
            <a:rPr lang="en-US" sz="1100" baseline="0"/>
            <a:t>Fleets 1 and 2 normally sail the same courses, so the "Combo" sheet combines the boats from these two fleets and scores them as a single fleet.  Fleets 3 and 4 also sail the same courses, so the "Combo" sheet for fleets 3 &amp; 4 scores these two fleets as a single fleet.  The combo sheets are not intended for general distribution, but may be useful if it becomes necessary to combine fleets in future series or regattas.</a:t>
          </a:r>
        </a:p>
        <a:p>
          <a:endParaRPr lang="en-US" sz="1100" baseline="0"/>
        </a:p>
        <a:p>
          <a:r>
            <a:rPr lang="en-US" sz="1100" baseline="0"/>
            <a:t>Sheet: </a:t>
          </a:r>
          <a:r>
            <a:rPr lang="en-US" sz="1100" b="1" u="sng" baseline="0"/>
            <a:t>Finish Times  </a:t>
          </a:r>
          <a:r>
            <a:rPr lang="en-US" sz="1100" b="0" u="none" baseline="0"/>
            <a:t>This sheet contains a list of BYRA boats in alphabetical order.   The list starts in cell A10 and ends in cell G39.  The list contains the names of all BYRA boats as of March 2016.   It also contains the names of several boats which are no longer actively racing.  Names are color coded to help you identify the fleets in which they compete.  If you need to add a new boat to the list, locate one of the boats no longer active and overwrite that information.  Make sure to change the background color to correctly identify the new boat.  Then resort the list in alpha order.  To do this, use your mouse to select the entire field, A10 to G39, click on the HOME banner, click on the funnel icon for "Sort and Filter" and click "Sort A to Z".  </a:t>
          </a:r>
          <a:r>
            <a:rPr lang="en-US" sz="1100" b="1" u="sng" baseline="0"/>
            <a:t>Important:  </a:t>
          </a:r>
          <a:r>
            <a:rPr lang="en-US" sz="1100" b="0" u="none" baseline="0"/>
            <a:t>If/when you change/add a boat name to this sheet you must enter </a:t>
          </a:r>
          <a:r>
            <a:rPr lang="en-US" sz="1100" b="1" u="sng" baseline="0"/>
            <a:t>exactly</a:t>
          </a:r>
          <a:r>
            <a:rPr lang="en-US" sz="1100" b="0" u="none" baseline="0"/>
            <a:t> the same boat name on the respective "Fleet" sheets AND on the appropriate "Combo" sheet.</a:t>
          </a:r>
        </a:p>
        <a:p>
          <a:r>
            <a:rPr lang="en-US" sz="1100" b="0" u="none" baseline="0"/>
            <a:t>The formulas in this file consider cell G39 to be the end of the input area.  If the number of boats exceeds 30 the number of rows will need to be extended and the formulas adjusted accordingly.</a:t>
          </a:r>
        </a:p>
        <a:p>
          <a:endParaRPr lang="en-US" sz="1100" b="0" u="none" baseline="0"/>
        </a:p>
        <a:p>
          <a:r>
            <a:rPr lang="en-US" sz="1100" b="0" u="none" baseline="0"/>
            <a:t>At the conclusion of each race transfer the elapsed times from the FINISH LOG to this sheet.   Enter minutes in Column F and seconds in Column G.  These times will automatically be duplicated on the appropriate Fleet and Combo sheets where calculations will be completed for corrected times and finish order.</a:t>
          </a:r>
        </a:p>
        <a:p>
          <a:r>
            <a:rPr lang="en-US" sz="1100" b="0" u="none" baseline="0"/>
            <a:t>Note:  The boats on the Finish Log will be listed in elapsed time finish order.  The boats on the </a:t>
          </a:r>
          <a:r>
            <a:rPr lang="en-US" sz="1100" b="0" baseline="0">
              <a:solidFill>
                <a:schemeClr val="dk1"/>
              </a:solidFill>
              <a:effectLst/>
              <a:latin typeface="+mn-lt"/>
              <a:ea typeface="+mn-ea"/>
              <a:cs typeface="+mn-cs"/>
            </a:rPr>
            <a:t>"Finish TImes" </a:t>
          </a:r>
          <a:r>
            <a:rPr lang="en-US" sz="1100" b="0" u="none" baseline="0"/>
            <a:t>sheet are in alpha order, so be careful to transfer accurately.</a:t>
          </a:r>
        </a:p>
        <a:p>
          <a:endParaRPr lang="en-US" sz="1100" b="0" u="none" baseline="0"/>
        </a:p>
        <a:p>
          <a:r>
            <a:rPr lang="en-US" sz="1100" b="0" u="none" baseline="0"/>
            <a:t>The file expects Fleets 3 and 4 too have started 5 minutes after Fleets 1 and 2.  If five minutes is the correct lag, no action need be taken.  If the delay was anything other than 5 minutes you must edit the sheets for fleets 3 and 4 and Fleet 3 and 4 Combo.  Unprotect each of these three sheets and enter the appropriate lag minutes in cell A3; then re-protect.  (Since all elapsed times are recorded from the same clock, the formulas in the file will subtract the appropriate lag/delay from the elapsed times for Fleets 3 and 4.)</a:t>
          </a:r>
        </a:p>
        <a:p>
          <a:endParaRPr lang="en-US" sz="1100" b="0" u="none" baseline="0"/>
        </a:p>
        <a:p>
          <a:r>
            <a:rPr lang="en-US" sz="1100" b="0" u="none" baseline="0"/>
            <a:t>After all the elapsed times have been entered on the sheet "Finish TImes" click on each of the other sheets in the file.  On each sheet, press Control and Z (Ctrl and Z keys together).   This will run an internal macro routine to determine how far behind each boat was and the approximate handicap required to win.  (The macro may ask you to enter the password as it processes each sheet.   if so, enter BYRA in all caps.)</a:t>
          </a:r>
        </a:p>
        <a:p>
          <a:endParaRPr lang="en-US" sz="1100" b="0" u="none" baseline="0"/>
        </a:p>
        <a:p>
          <a:r>
            <a:rPr lang="en-US" sz="1100" b="0" u="none" baseline="0"/>
            <a:t>Sheets:  All </a:t>
          </a:r>
          <a:r>
            <a:rPr lang="en-US" sz="1100" b="1" u="sng" baseline="0"/>
            <a:t>Fleet # and Combo </a:t>
          </a:r>
          <a:r>
            <a:rPr lang="en-US" sz="1100" b="0" u="none" baseline="0"/>
            <a:t> Before each race date, unprotect each of these six sheets.  Once the sheets have been unprotected, click on Fleet 1 sheet, then hold down the control key and click on each of the sheets for all other fleets and for the Combo sheets.  (This will allow you to "Group Edit" all sheets together so whatever changes you make on one will appear on all of them.)  Click on cell A6 and edit the information to change the race dates, the race numbers and the race committee.  </a:t>
          </a:r>
          <a:r>
            <a:rPr lang="en-US" sz="1100" b="1" u="sng" baseline="0"/>
            <a:t>Important: </a:t>
          </a:r>
          <a:r>
            <a:rPr lang="en-US" sz="1100" b="0" u="none" baseline="0"/>
            <a:t>Once you complete the edit, click on the "Finish Times" sheet which will disable the "group edit" feature.   Now check each of the Fleet/Combo sheets to make sure all are showing the correct information in cell A6.  Note: After the races, repeat this group editing process to edit cell A7.   Overwrite the info in cell A7 to describe the weather and race conditions.  Re-protect each sheet when finished.</a:t>
          </a:r>
        </a:p>
        <a:p>
          <a:endParaRPr lang="en-US" sz="1100" b="0" u="none" baseline="0"/>
        </a:p>
        <a:p>
          <a:r>
            <a:rPr lang="en-US" sz="1100" b="0" u="none" baseline="0"/>
            <a:t>If you added any boats to the Finish Times sheet you need to edit the respective Fleet/Combo sheets.  To do this, unprotect the Fleet Sheet.  Add the new boat to the bottom of the existing list.   Enter data in columns A to G.   From the row above the new entry, copy formulas from Columns H thru R to the new row.  Edit Column T for the new boat by putting an "s" for spinnaker or "n" for non spin.  Re-protect the sheet when finished.   Note:   If any of the existing boats change the boat name, you will need to follow this editing process to unprotect the sheet, edit the boat name to match exactly to the name shown on the Finish Times sheet, and re-protect when finished.</a:t>
          </a:r>
          <a:endParaRPr lang="en-US" sz="1100" b="1" u="sn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40"/>
  <sheetViews>
    <sheetView topLeftCell="A12" zoomScale="78" zoomScaleNormal="78" workbookViewId="0">
      <selection activeCell="G20" sqref="G20"/>
    </sheetView>
  </sheetViews>
  <sheetFormatPr defaultRowHeight="14.4" x14ac:dyDescent="0.3"/>
  <cols>
    <col min="1" max="1" width="19.109375" customWidth="1"/>
    <col min="2" max="2" width="9.109375" style="1"/>
    <col min="3" max="3" width="16.5546875" bestFit="1" customWidth="1"/>
    <col min="4" max="4" width="9.109375" style="1"/>
    <col min="5" max="5" width="15.88671875" bestFit="1" customWidth="1"/>
  </cols>
  <sheetData>
    <row r="1" spans="1:31" ht="0.9" customHeight="1" x14ac:dyDescent="0.3"/>
    <row r="2" spans="1:31" ht="0.9" customHeight="1" x14ac:dyDescent="0.3"/>
    <row r="3" spans="1:31" ht="0.9" customHeight="1" thickBot="1" x14ac:dyDescent="0.35"/>
    <row r="4" spans="1:31" ht="18" x14ac:dyDescent="0.35">
      <c r="A4" s="70" t="s">
        <v>140</v>
      </c>
      <c r="C4" s="76" t="s">
        <v>145</v>
      </c>
    </row>
    <row r="5" spans="1:31" ht="18" x14ac:dyDescent="0.35">
      <c r="A5" s="71" t="s">
        <v>141</v>
      </c>
      <c r="C5" s="83" t="s">
        <v>148</v>
      </c>
    </row>
    <row r="6" spans="1:31" ht="18" x14ac:dyDescent="0.35">
      <c r="A6" s="71" t="s">
        <v>142</v>
      </c>
      <c r="C6" s="85" t="s">
        <v>147</v>
      </c>
    </row>
    <row r="7" spans="1:31" ht="18.600000000000001" thickBot="1" x14ac:dyDescent="0.4">
      <c r="A7" s="72" t="s">
        <v>143</v>
      </c>
      <c r="C7" s="80" t="s">
        <v>146</v>
      </c>
    </row>
    <row r="8" spans="1:31" x14ac:dyDescent="0.3">
      <c r="F8" s="64" t="s">
        <v>47</v>
      </c>
      <c r="G8" s="64"/>
    </row>
    <row r="9" spans="1:31" x14ac:dyDescent="0.3">
      <c r="A9" t="s">
        <v>139</v>
      </c>
      <c r="B9" s="1" t="s">
        <v>133</v>
      </c>
      <c r="C9" s="1" t="s">
        <v>132</v>
      </c>
      <c r="D9" s="1" t="s">
        <v>134</v>
      </c>
      <c r="E9" s="1" t="s">
        <v>135</v>
      </c>
      <c r="F9" s="1" t="s">
        <v>136</v>
      </c>
      <c r="G9" s="1" t="s">
        <v>144</v>
      </c>
    </row>
    <row r="10" spans="1:31" ht="18" x14ac:dyDescent="0.35">
      <c r="A10" s="79" t="s">
        <v>106</v>
      </c>
      <c r="B10" s="80">
        <v>4</v>
      </c>
      <c r="C10" s="80" t="s">
        <v>107</v>
      </c>
      <c r="D10" s="80">
        <v>505</v>
      </c>
      <c r="E10" s="86" t="s">
        <v>105</v>
      </c>
      <c r="F10" s="81">
        <v>48</v>
      </c>
      <c r="G10" s="81">
        <v>18</v>
      </c>
      <c r="Q10" s="93"/>
    </row>
    <row r="11" spans="1:31" ht="18" x14ac:dyDescent="0.35">
      <c r="A11" s="73" t="s">
        <v>159</v>
      </c>
      <c r="B11" s="74">
        <v>3</v>
      </c>
      <c r="C11" s="74" t="s">
        <v>94</v>
      </c>
      <c r="D11" s="74">
        <v>1256</v>
      </c>
      <c r="E11" s="88" t="s">
        <v>130</v>
      </c>
      <c r="F11" s="68"/>
      <c r="G11" s="68"/>
      <c r="Q11" s="93"/>
    </row>
    <row r="12" spans="1:31" ht="18" x14ac:dyDescent="0.35">
      <c r="A12" s="75" t="s">
        <v>61</v>
      </c>
      <c r="B12" s="76">
        <v>1</v>
      </c>
      <c r="C12" s="76" t="s">
        <v>73</v>
      </c>
      <c r="D12" s="76">
        <v>2792</v>
      </c>
      <c r="E12" s="87" t="s">
        <v>68</v>
      </c>
      <c r="F12" s="78"/>
      <c r="G12" s="78"/>
      <c r="Q12" s="93">
        <v>0</v>
      </c>
      <c r="AE12">
        <v>0</v>
      </c>
    </row>
    <row r="13" spans="1:31" ht="18" x14ac:dyDescent="0.35">
      <c r="A13" s="75" t="s">
        <v>62</v>
      </c>
      <c r="B13" s="76">
        <v>1</v>
      </c>
      <c r="C13" s="76" t="s">
        <v>73</v>
      </c>
      <c r="D13" s="76">
        <v>1742</v>
      </c>
      <c r="E13" s="87" t="s">
        <v>69</v>
      </c>
      <c r="F13" s="76">
        <v>62</v>
      </c>
      <c r="G13" s="78">
        <v>55</v>
      </c>
      <c r="Q13" s="93">
        <v>0</v>
      </c>
      <c r="AE13">
        <v>0</v>
      </c>
    </row>
    <row r="14" spans="1:31" ht="18" x14ac:dyDescent="0.35">
      <c r="A14" s="75" t="s">
        <v>63</v>
      </c>
      <c r="B14" s="76">
        <v>1</v>
      </c>
      <c r="C14" s="76" t="s">
        <v>64</v>
      </c>
      <c r="D14" s="76">
        <v>826</v>
      </c>
      <c r="E14" s="87" t="s">
        <v>71</v>
      </c>
      <c r="F14" s="76">
        <v>65</v>
      </c>
      <c r="G14" s="78">
        <v>20</v>
      </c>
      <c r="H14" t="s">
        <v>162</v>
      </c>
      <c r="Q14" s="93">
        <v>0</v>
      </c>
      <c r="AE14">
        <v>0</v>
      </c>
    </row>
    <row r="15" spans="1:31" ht="18" x14ac:dyDescent="0.35">
      <c r="A15" s="82" t="s">
        <v>153</v>
      </c>
      <c r="B15" s="83">
        <v>2</v>
      </c>
      <c r="C15" s="83" t="s">
        <v>14</v>
      </c>
      <c r="D15" s="83">
        <v>278</v>
      </c>
      <c r="E15" s="89" t="s">
        <v>114</v>
      </c>
      <c r="F15" s="84"/>
      <c r="G15" s="84"/>
      <c r="Q15" s="93">
        <v>0</v>
      </c>
      <c r="AE15">
        <v>0</v>
      </c>
    </row>
    <row r="16" spans="1:31" ht="18" x14ac:dyDescent="0.35">
      <c r="A16" s="75" t="s">
        <v>75</v>
      </c>
      <c r="B16" s="76">
        <v>1</v>
      </c>
      <c r="C16" s="76" t="s">
        <v>73</v>
      </c>
      <c r="D16" s="76">
        <v>1024</v>
      </c>
      <c r="E16" s="87" t="s">
        <v>74</v>
      </c>
      <c r="F16" s="76"/>
      <c r="G16" s="78"/>
      <c r="Q16" s="93">
        <v>0</v>
      </c>
      <c r="AE16">
        <v>0</v>
      </c>
    </row>
    <row r="17" spans="1:31" ht="18" x14ac:dyDescent="0.35">
      <c r="A17" s="82" t="s">
        <v>12</v>
      </c>
      <c r="B17" s="83">
        <v>2</v>
      </c>
      <c r="C17" s="83" t="s">
        <v>11</v>
      </c>
      <c r="D17" s="83">
        <v>6</v>
      </c>
      <c r="E17" s="89" t="s">
        <v>13</v>
      </c>
      <c r="F17" s="84">
        <v>139</v>
      </c>
      <c r="G17" s="84">
        <v>41</v>
      </c>
      <c r="Q17" s="93">
        <v>0</v>
      </c>
      <c r="AE17">
        <v>0</v>
      </c>
    </row>
    <row r="18" spans="1:31" ht="18" x14ac:dyDescent="0.35">
      <c r="A18" s="79" t="s">
        <v>123</v>
      </c>
      <c r="B18" s="80">
        <v>4</v>
      </c>
      <c r="C18" s="80" t="s">
        <v>124</v>
      </c>
      <c r="D18" s="80">
        <v>13</v>
      </c>
      <c r="E18" s="86" t="s">
        <v>122</v>
      </c>
      <c r="F18" s="81"/>
      <c r="G18" s="81"/>
      <c r="Q18" s="93">
        <v>0</v>
      </c>
      <c r="AE18">
        <v>0</v>
      </c>
    </row>
    <row r="19" spans="1:31" ht="18" x14ac:dyDescent="0.35">
      <c r="A19" s="82" t="s">
        <v>157</v>
      </c>
      <c r="B19" s="83">
        <v>2</v>
      </c>
      <c r="C19" s="83" t="s">
        <v>158</v>
      </c>
      <c r="D19" s="83">
        <v>556</v>
      </c>
      <c r="E19" s="89" t="s">
        <v>156</v>
      </c>
      <c r="F19" s="83">
        <v>170</v>
      </c>
      <c r="G19" s="84">
        <v>5</v>
      </c>
      <c r="Q19" s="93">
        <v>0</v>
      </c>
      <c r="AE19">
        <v>0</v>
      </c>
    </row>
    <row r="20" spans="1:31" ht="18" x14ac:dyDescent="0.35">
      <c r="A20" s="73" t="s">
        <v>154</v>
      </c>
      <c r="B20" s="74">
        <v>3</v>
      </c>
      <c r="C20" s="74" t="s">
        <v>89</v>
      </c>
      <c r="D20" s="74">
        <v>269</v>
      </c>
      <c r="E20" s="88" t="s">
        <v>90</v>
      </c>
      <c r="F20" s="68">
        <v>57</v>
      </c>
      <c r="G20" s="68">
        <v>21</v>
      </c>
      <c r="Q20" s="93">
        <v>0</v>
      </c>
      <c r="AE20">
        <v>0</v>
      </c>
    </row>
    <row r="21" spans="1:31" ht="18" x14ac:dyDescent="0.35">
      <c r="A21" s="82" t="s">
        <v>23</v>
      </c>
      <c r="B21" s="83">
        <v>2</v>
      </c>
      <c r="C21" s="83" t="s">
        <v>22</v>
      </c>
      <c r="D21" s="83">
        <v>1183</v>
      </c>
      <c r="E21" s="89" t="s">
        <v>24</v>
      </c>
      <c r="F21" s="84"/>
      <c r="G21" s="84"/>
      <c r="Q21" s="93">
        <v>0</v>
      </c>
      <c r="AE21">
        <v>0</v>
      </c>
    </row>
    <row r="22" spans="1:31" ht="18" x14ac:dyDescent="0.35">
      <c r="A22" s="79" t="s">
        <v>162</v>
      </c>
      <c r="B22" s="80" t="s">
        <v>162</v>
      </c>
      <c r="C22" s="80" t="s">
        <v>162</v>
      </c>
      <c r="D22" s="80" t="s">
        <v>162</v>
      </c>
      <c r="E22" s="86" t="s">
        <v>162</v>
      </c>
      <c r="F22" s="81"/>
      <c r="G22" s="81"/>
      <c r="Q22" s="93">
        <v>0</v>
      </c>
      <c r="AE22">
        <v>0</v>
      </c>
    </row>
    <row r="23" spans="1:31" ht="18" x14ac:dyDescent="0.35">
      <c r="A23" s="82" t="s">
        <v>26</v>
      </c>
      <c r="B23" s="83">
        <v>2</v>
      </c>
      <c r="C23" s="83" t="s">
        <v>25</v>
      </c>
      <c r="D23" s="83">
        <v>75</v>
      </c>
      <c r="E23" s="89" t="s">
        <v>27</v>
      </c>
      <c r="F23" s="84"/>
      <c r="G23" s="84"/>
      <c r="Q23" s="93">
        <v>0</v>
      </c>
      <c r="AE23">
        <v>0</v>
      </c>
    </row>
    <row r="24" spans="1:31" ht="18" x14ac:dyDescent="0.35">
      <c r="A24" s="82" t="s">
        <v>160</v>
      </c>
      <c r="B24" s="83">
        <v>4</v>
      </c>
      <c r="C24" s="83" t="s">
        <v>161</v>
      </c>
      <c r="D24" s="83">
        <v>8</v>
      </c>
      <c r="E24" s="89" t="s">
        <v>95</v>
      </c>
      <c r="F24" s="84"/>
      <c r="G24" s="84"/>
      <c r="Q24" s="93">
        <v>0</v>
      </c>
      <c r="AE24">
        <v>0</v>
      </c>
    </row>
    <row r="25" spans="1:31" ht="18" x14ac:dyDescent="0.35">
      <c r="A25" s="75" t="s">
        <v>163</v>
      </c>
      <c r="B25" s="76">
        <v>3</v>
      </c>
      <c r="C25" s="76" t="s">
        <v>164</v>
      </c>
      <c r="D25" s="76"/>
      <c r="E25" s="87" t="s">
        <v>95</v>
      </c>
      <c r="F25" s="78"/>
      <c r="G25" s="78"/>
      <c r="Q25" s="93">
        <v>0</v>
      </c>
      <c r="AE25">
        <v>0</v>
      </c>
    </row>
    <row r="26" spans="1:31" ht="18" x14ac:dyDescent="0.35">
      <c r="A26" s="79" t="s">
        <v>103</v>
      </c>
      <c r="B26" s="80">
        <v>4</v>
      </c>
      <c r="C26" s="80" t="s">
        <v>104</v>
      </c>
      <c r="D26" s="80">
        <v>485</v>
      </c>
      <c r="E26" s="86" t="s">
        <v>102</v>
      </c>
      <c r="F26" s="81">
        <v>34</v>
      </c>
      <c r="G26" s="81">
        <v>43</v>
      </c>
      <c r="Q26" s="93">
        <v>0</v>
      </c>
      <c r="AE26">
        <v>0</v>
      </c>
    </row>
    <row r="27" spans="1:31" ht="18" x14ac:dyDescent="0.35">
      <c r="A27" s="73" t="s">
        <v>9</v>
      </c>
      <c r="B27" s="74">
        <v>3</v>
      </c>
      <c r="C27" s="74" t="s">
        <v>8</v>
      </c>
      <c r="D27" s="74">
        <v>1687</v>
      </c>
      <c r="E27" s="88" t="s">
        <v>10</v>
      </c>
      <c r="F27" s="68"/>
      <c r="G27" s="68"/>
      <c r="Q27" s="93">
        <v>0</v>
      </c>
      <c r="AE27">
        <v>0</v>
      </c>
    </row>
    <row r="28" spans="1:31" ht="18" x14ac:dyDescent="0.35">
      <c r="A28" s="73" t="s">
        <v>85</v>
      </c>
      <c r="B28" s="74">
        <v>3</v>
      </c>
      <c r="C28" s="74" t="s">
        <v>86</v>
      </c>
      <c r="D28" s="74">
        <v>1309</v>
      </c>
      <c r="E28" s="88" t="s">
        <v>84</v>
      </c>
      <c r="F28" s="68">
        <v>49</v>
      </c>
      <c r="G28" s="68">
        <v>54</v>
      </c>
      <c r="Q28" s="93">
        <v>0</v>
      </c>
      <c r="AE28">
        <v>0</v>
      </c>
    </row>
    <row r="29" spans="1:31" ht="18" x14ac:dyDescent="0.35">
      <c r="A29" s="79" t="s">
        <v>112</v>
      </c>
      <c r="B29" s="80">
        <v>4</v>
      </c>
      <c r="C29" s="80" t="s">
        <v>113</v>
      </c>
      <c r="D29" s="80">
        <v>144</v>
      </c>
      <c r="E29" s="86" t="s">
        <v>111</v>
      </c>
      <c r="F29" s="81"/>
      <c r="G29" s="81"/>
    </row>
    <row r="30" spans="1:31" ht="18" x14ac:dyDescent="0.35">
      <c r="A30" s="75" t="s">
        <v>65</v>
      </c>
      <c r="B30" s="76">
        <v>1</v>
      </c>
      <c r="C30" s="76" t="s">
        <v>73</v>
      </c>
      <c r="D30" s="76">
        <v>3511</v>
      </c>
      <c r="E30" s="87" t="s">
        <v>70</v>
      </c>
      <c r="F30" s="78">
        <v>58</v>
      </c>
      <c r="G30" s="78">
        <v>3</v>
      </c>
    </row>
    <row r="31" spans="1:31" ht="18" x14ac:dyDescent="0.35">
      <c r="A31" s="73" t="s">
        <v>88</v>
      </c>
      <c r="B31" s="74">
        <v>3</v>
      </c>
      <c r="C31" s="74" t="s">
        <v>89</v>
      </c>
      <c r="D31" s="74">
        <v>470</v>
      </c>
      <c r="E31" s="88" t="s">
        <v>87</v>
      </c>
      <c r="F31" s="68">
        <v>52</v>
      </c>
      <c r="G31" s="68">
        <v>53</v>
      </c>
    </row>
    <row r="32" spans="1:31" ht="18" x14ac:dyDescent="0.35">
      <c r="A32" s="82" t="s">
        <v>20</v>
      </c>
      <c r="B32" s="83">
        <v>2</v>
      </c>
      <c r="C32" s="83" t="s">
        <v>19</v>
      </c>
      <c r="D32" s="83">
        <v>14755</v>
      </c>
      <c r="E32" s="89" t="s">
        <v>21</v>
      </c>
      <c r="F32" s="84"/>
      <c r="G32" s="84"/>
    </row>
    <row r="33" spans="1:7" ht="18" x14ac:dyDescent="0.35">
      <c r="A33" s="82" t="s">
        <v>15</v>
      </c>
      <c r="B33" s="83">
        <v>2</v>
      </c>
      <c r="C33" s="83" t="s">
        <v>14</v>
      </c>
      <c r="D33" s="83">
        <v>330</v>
      </c>
      <c r="E33" s="89" t="s">
        <v>16</v>
      </c>
      <c r="F33" s="84">
        <v>138</v>
      </c>
      <c r="G33" s="84">
        <v>56</v>
      </c>
    </row>
    <row r="34" spans="1:7" ht="18" x14ac:dyDescent="0.35">
      <c r="A34" s="82" t="s">
        <v>17</v>
      </c>
      <c r="B34" s="83">
        <v>2</v>
      </c>
      <c r="C34" s="83" t="s">
        <v>14</v>
      </c>
      <c r="D34" s="83">
        <v>212</v>
      </c>
      <c r="E34" s="89" t="s">
        <v>18</v>
      </c>
      <c r="F34" s="84">
        <v>136</v>
      </c>
      <c r="G34" s="84">
        <v>50</v>
      </c>
    </row>
    <row r="35" spans="1:7" ht="18" x14ac:dyDescent="0.35">
      <c r="A35" s="82" t="s">
        <v>129</v>
      </c>
      <c r="B35" s="83">
        <v>2</v>
      </c>
      <c r="C35" s="83" t="s">
        <v>14</v>
      </c>
      <c r="D35" s="83">
        <v>215</v>
      </c>
      <c r="E35" s="89" t="s">
        <v>92</v>
      </c>
      <c r="F35" s="84"/>
      <c r="G35" s="84"/>
    </row>
    <row r="36" spans="1:7" ht="18" x14ac:dyDescent="0.35">
      <c r="A36" s="79" t="s">
        <v>155</v>
      </c>
      <c r="B36" s="80">
        <v>4</v>
      </c>
      <c r="C36" s="80" t="s">
        <v>113</v>
      </c>
      <c r="D36" s="80">
        <v>285</v>
      </c>
      <c r="E36" s="86" t="s">
        <v>90</v>
      </c>
      <c r="F36" s="81"/>
      <c r="G36" s="81"/>
    </row>
    <row r="37" spans="1:7" ht="18" x14ac:dyDescent="0.35">
      <c r="A37" s="75" t="s">
        <v>77</v>
      </c>
      <c r="B37" s="76">
        <v>1</v>
      </c>
      <c r="C37" s="76" t="s">
        <v>73</v>
      </c>
      <c r="D37" s="76">
        <v>1248</v>
      </c>
      <c r="E37" s="87" t="s">
        <v>76</v>
      </c>
      <c r="F37" s="78"/>
      <c r="G37" s="78"/>
    </row>
    <row r="38" spans="1:7" ht="18" x14ac:dyDescent="0.35">
      <c r="A38" s="73" t="s">
        <v>93</v>
      </c>
      <c r="B38" s="74">
        <v>3</v>
      </c>
      <c r="C38" s="74" t="s">
        <v>94</v>
      </c>
      <c r="D38" s="74">
        <v>1256</v>
      </c>
      <c r="E38" s="88" t="s">
        <v>162</v>
      </c>
      <c r="F38" s="68"/>
      <c r="G38" s="68"/>
    </row>
    <row r="39" spans="1:7" ht="18" x14ac:dyDescent="0.35">
      <c r="A39" s="75" t="s">
        <v>137</v>
      </c>
      <c r="B39" s="76">
        <v>1</v>
      </c>
      <c r="C39" s="76" t="s">
        <v>81</v>
      </c>
      <c r="D39" s="76">
        <v>119</v>
      </c>
      <c r="E39" s="87" t="s">
        <v>80</v>
      </c>
      <c r="F39" s="78"/>
      <c r="G39" s="78"/>
    </row>
    <row r="40" spans="1:7" ht="18" x14ac:dyDescent="0.35">
      <c r="A40" s="79" t="s">
        <v>125</v>
      </c>
      <c r="B40" s="80">
        <v>4</v>
      </c>
      <c r="C40" s="80" t="s">
        <v>118</v>
      </c>
      <c r="D40" s="80">
        <v>222</v>
      </c>
      <c r="E40" s="86" t="s">
        <v>117</v>
      </c>
      <c r="F40" s="81"/>
      <c r="G40" s="81"/>
    </row>
  </sheetData>
  <sortState ref="AB10:AE28">
    <sortCondition ref="AB10:AB28"/>
  </sortState>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9"/>
  <sheetViews>
    <sheetView zoomScale="41" zoomScaleNormal="41" workbookViewId="0"/>
  </sheetViews>
  <sheetFormatPr defaultRowHeight="14.4" x14ac:dyDescent="0.3"/>
  <cols>
    <col min="1" max="1" width="16" bestFit="1" customWidth="1"/>
    <col min="2" max="2" width="9.109375" style="1"/>
    <col min="3" max="3" width="16.5546875" bestFit="1" customWidth="1"/>
    <col min="4" max="4" width="9.109375" style="1"/>
    <col min="5" max="5" width="15.88671875" bestFit="1" customWidth="1"/>
  </cols>
  <sheetData>
    <row r="1" spans="1:7" ht="0.9" customHeight="1" x14ac:dyDescent="0.3"/>
    <row r="2" spans="1:7" ht="0.9" customHeight="1" x14ac:dyDescent="0.3"/>
    <row r="3" spans="1:7" ht="0.9" customHeight="1" thickBot="1" x14ac:dyDescent="0.35"/>
    <row r="4" spans="1:7" ht="18" x14ac:dyDescent="0.35">
      <c r="A4" s="70" t="s">
        <v>140</v>
      </c>
      <c r="C4" s="76" t="s">
        <v>145</v>
      </c>
      <c r="D4"/>
    </row>
    <row r="5" spans="1:7" ht="18" x14ac:dyDescent="0.35">
      <c r="A5" s="71" t="s">
        <v>141</v>
      </c>
      <c r="C5" s="83" t="s">
        <v>148</v>
      </c>
      <c r="D5"/>
    </row>
    <row r="6" spans="1:7" ht="18" x14ac:dyDescent="0.35">
      <c r="A6" s="71" t="s">
        <v>142</v>
      </c>
      <c r="C6" s="85" t="s">
        <v>147</v>
      </c>
    </row>
    <row r="7" spans="1:7" ht="18.600000000000001" thickBot="1" x14ac:dyDescent="0.4">
      <c r="A7" s="72" t="s">
        <v>143</v>
      </c>
      <c r="C7" s="80" t="s">
        <v>146</v>
      </c>
    </row>
    <row r="8" spans="1:7" x14ac:dyDescent="0.3">
      <c r="F8" s="64" t="s">
        <v>47</v>
      </c>
      <c r="G8" s="64"/>
    </row>
    <row r="9" spans="1:7" x14ac:dyDescent="0.3">
      <c r="A9" t="s">
        <v>139</v>
      </c>
      <c r="B9" s="1" t="s">
        <v>133</v>
      </c>
      <c r="C9" s="1" t="s">
        <v>132</v>
      </c>
      <c r="D9" s="1" t="s">
        <v>134</v>
      </c>
      <c r="E9" s="1" t="s">
        <v>135</v>
      </c>
      <c r="F9" s="1" t="s">
        <v>136</v>
      </c>
      <c r="G9" s="1" t="s">
        <v>144</v>
      </c>
    </row>
    <row r="10" spans="1:7" ht="18" x14ac:dyDescent="0.35">
      <c r="A10" s="75" t="s">
        <v>61</v>
      </c>
      <c r="B10" s="76">
        <v>1</v>
      </c>
      <c r="C10" s="87" t="s">
        <v>73</v>
      </c>
      <c r="D10" s="76">
        <v>2792</v>
      </c>
      <c r="E10" s="87" t="s">
        <v>68</v>
      </c>
      <c r="F10" s="78"/>
      <c r="G10" s="78"/>
    </row>
    <row r="11" spans="1:7" ht="18" x14ac:dyDescent="0.35">
      <c r="A11" s="75" t="s">
        <v>79</v>
      </c>
      <c r="B11" s="76">
        <v>1</v>
      </c>
      <c r="C11" s="87" t="s">
        <v>73</v>
      </c>
      <c r="D11" s="77"/>
      <c r="E11" s="87" t="s">
        <v>78</v>
      </c>
      <c r="F11" s="76"/>
      <c r="G11" s="78"/>
    </row>
    <row r="12" spans="1:7" ht="18" x14ac:dyDescent="0.35">
      <c r="A12" s="75" t="s">
        <v>62</v>
      </c>
      <c r="B12" s="76">
        <v>1</v>
      </c>
      <c r="C12" s="87" t="s">
        <v>73</v>
      </c>
      <c r="D12" s="77">
        <v>1742</v>
      </c>
      <c r="E12" s="87" t="s">
        <v>69</v>
      </c>
      <c r="F12" s="76"/>
      <c r="G12" s="78"/>
    </row>
    <row r="13" spans="1:7" ht="18" x14ac:dyDescent="0.35">
      <c r="A13" s="75" t="s">
        <v>63</v>
      </c>
      <c r="B13" s="76">
        <v>1</v>
      </c>
      <c r="C13" s="87" t="s">
        <v>64</v>
      </c>
      <c r="D13" s="77">
        <v>826</v>
      </c>
      <c r="E13" s="87" t="s">
        <v>71</v>
      </c>
      <c r="F13" s="76"/>
      <c r="G13" s="78"/>
    </row>
    <row r="14" spans="1:7" ht="18" x14ac:dyDescent="0.35">
      <c r="A14" s="75" t="s">
        <v>75</v>
      </c>
      <c r="B14" s="76">
        <v>1</v>
      </c>
      <c r="C14" s="87" t="s">
        <v>73</v>
      </c>
      <c r="D14" s="76">
        <v>1024</v>
      </c>
      <c r="E14" s="87" t="s">
        <v>74</v>
      </c>
      <c r="F14" s="78"/>
      <c r="G14" s="78"/>
    </row>
    <row r="15" spans="1:7" ht="18" x14ac:dyDescent="0.35">
      <c r="A15" s="75" t="s">
        <v>121</v>
      </c>
      <c r="B15" s="76">
        <v>1</v>
      </c>
      <c r="C15" s="87" t="s">
        <v>120</v>
      </c>
      <c r="D15" s="76"/>
      <c r="E15" s="87" t="s">
        <v>119</v>
      </c>
      <c r="F15" s="78"/>
      <c r="G15" s="78"/>
    </row>
    <row r="16" spans="1:7" ht="18" x14ac:dyDescent="0.35">
      <c r="A16" s="75" t="s">
        <v>65</v>
      </c>
      <c r="B16" s="76">
        <v>1</v>
      </c>
      <c r="C16" s="87" t="s">
        <v>73</v>
      </c>
      <c r="D16" s="76">
        <v>3511</v>
      </c>
      <c r="E16" s="87" t="s">
        <v>70</v>
      </c>
      <c r="F16" s="78"/>
      <c r="G16" s="78"/>
    </row>
    <row r="17" spans="1:7" ht="18" x14ac:dyDescent="0.35">
      <c r="A17" s="75" t="s">
        <v>77</v>
      </c>
      <c r="B17" s="76">
        <v>1</v>
      </c>
      <c r="C17" s="87" t="s">
        <v>73</v>
      </c>
      <c r="D17" s="76">
        <v>1248</v>
      </c>
      <c r="E17" s="87" t="s">
        <v>76</v>
      </c>
      <c r="F17" s="78"/>
      <c r="G17" s="78"/>
    </row>
    <row r="18" spans="1:7" ht="18" x14ac:dyDescent="0.35">
      <c r="A18" s="75" t="s">
        <v>137</v>
      </c>
      <c r="B18" s="76">
        <v>1</v>
      </c>
      <c r="C18" s="87" t="s">
        <v>81</v>
      </c>
      <c r="D18" s="76">
        <v>119</v>
      </c>
      <c r="E18" s="87" t="s">
        <v>80</v>
      </c>
      <c r="F18" s="78"/>
      <c r="G18" s="78"/>
    </row>
    <row r="19" spans="1:7" ht="18" x14ac:dyDescent="0.35">
      <c r="A19" s="82" t="s">
        <v>12</v>
      </c>
      <c r="B19" s="83">
        <v>2</v>
      </c>
      <c r="C19" s="89" t="s">
        <v>11</v>
      </c>
      <c r="D19" s="83">
        <v>6</v>
      </c>
      <c r="E19" s="89" t="s">
        <v>13</v>
      </c>
      <c r="F19" s="84"/>
      <c r="G19" s="84"/>
    </row>
    <row r="20" spans="1:7" ht="18" x14ac:dyDescent="0.35">
      <c r="A20" s="82" t="s">
        <v>23</v>
      </c>
      <c r="B20" s="83">
        <v>2</v>
      </c>
      <c r="C20" s="89" t="s">
        <v>22</v>
      </c>
      <c r="D20" s="83">
        <v>1183</v>
      </c>
      <c r="E20" s="89" t="s">
        <v>24</v>
      </c>
      <c r="F20" s="84"/>
      <c r="G20" s="84"/>
    </row>
    <row r="21" spans="1:7" ht="18" x14ac:dyDescent="0.35">
      <c r="A21" s="82" t="s">
        <v>26</v>
      </c>
      <c r="B21" s="83">
        <v>2</v>
      </c>
      <c r="C21" s="89" t="s">
        <v>25</v>
      </c>
      <c r="D21" s="83">
        <v>75</v>
      </c>
      <c r="E21" s="89" t="s">
        <v>27</v>
      </c>
      <c r="F21" s="84"/>
      <c r="G21" s="84"/>
    </row>
    <row r="22" spans="1:7" ht="18" x14ac:dyDescent="0.35">
      <c r="A22" s="82" t="s">
        <v>9</v>
      </c>
      <c r="B22" s="83">
        <v>2</v>
      </c>
      <c r="C22" s="89" t="s">
        <v>8</v>
      </c>
      <c r="D22" s="83">
        <v>1687</v>
      </c>
      <c r="E22" s="89" t="s">
        <v>10</v>
      </c>
      <c r="F22" s="84"/>
      <c r="G22" s="84"/>
    </row>
    <row r="23" spans="1:7" ht="18" x14ac:dyDescent="0.35">
      <c r="A23" s="82" t="s">
        <v>20</v>
      </c>
      <c r="B23" s="83">
        <v>2</v>
      </c>
      <c r="C23" s="89" t="s">
        <v>19</v>
      </c>
      <c r="D23" s="83">
        <v>14755</v>
      </c>
      <c r="E23" s="89" t="s">
        <v>21</v>
      </c>
      <c r="F23" s="84"/>
      <c r="G23" s="84"/>
    </row>
    <row r="24" spans="1:7" ht="18" x14ac:dyDescent="0.35">
      <c r="A24" s="82" t="s">
        <v>15</v>
      </c>
      <c r="B24" s="83">
        <v>2</v>
      </c>
      <c r="C24" s="89" t="s">
        <v>14</v>
      </c>
      <c r="D24" s="83">
        <v>330</v>
      </c>
      <c r="E24" s="89" t="s">
        <v>16</v>
      </c>
      <c r="F24" s="84"/>
      <c r="G24" s="84"/>
    </row>
    <row r="25" spans="1:7" ht="18" x14ac:dyDescent="0.35">
      <c r="A25" s="82" t="s">
        <v>17</v>
      </c>
      <c r="B25" s="83">
        <v>2</v>
      </c>
      <c r="C25" s="89" t="s">
        <v>14</v>
      </c>
      <c r="D25" s="83">
        <v>212</v>
      </c>
      <c r="E25" s="89" t="s">
        <v>18</v>
      </c>
      <c r="F25" s="84"/>
      <c r="G25" s="84"/>
    </row>
    <row r="26" spans="1:7" ht="18" x14ac:dyDescent="0.35">
      <c r="A26" s="82" t="s">
        <v>129</v>
      </c>
      <c r="B26" s="83">
        <v>2</v>
      </c>
      <c r="C26" s="89" t="s">
        <v>14</v>
      </c>
      <c r="D26" s="83">
        <v>215</v>
      </c>
      <c r="E26" s="89" t="s">
        <v>92</v>
      </c>
      <c r="F26" s="84"/>
      <c r="G26" s="84"/>
    </row>
    <row r="27" spans="1:7" ht="18" x14ac:dyDescent="0.35">
      <c r="A27" s="73" t="s">
        <v>126</v>
      </c>
      <c r="B27" s="74">
        <v>3</v>
      </c>
      <c r="C27" s="88" t="s">
        <v>96</v>
      </c>
      <c r="D27" s="74" t="s">
        <v>98</v>
      </c>
      <c r="E27" s="88" t="s">
        <v>97</v>
      </c>
      <c r="F27" s="68"/>
      <c r="G27" s="68"/>
    </row>
    <row r="28" spans="1:7" ht="18" x14ac:dyDescent="0.35">
      <c r="A28" s="73" t="s">
        <v>85</v>
      </c>
      <c r="B28" s="74">
        <v>3</v>
      </c>
      <c r="C28" s="88" t="s">
        <v>86</v>
      </c>
      <c r="D28" s="74">
        <v>1309</v>
      </c>
      <c r="E28" s="88" t="s">
        <v>84</v>
      </c>
      <c r="F28" s="68"/>
      <c r="G28" s="68"/>
    </row>
    <row r="29" spans="1:7" ht="18" x14ac:dyDescent="0.35">
      <c r="A29" s="73" t="s">
        <v>91</v>
      </c>
      <c r="B29" s="74">
        <v>3</v>
      </c>
      <c r="C29" s="88" t="s">
        <v>89</v>
      </c>
      <c r="D29" s="74">
        <v>23</v>
      </c>
      <c r="E29" s="88" t="s">
        <v>90</v>
      </c>
      <c r="F29" s="68"/>
      <c r="G29" s="68"/>
    </row>
    <row r="30" spans="1:7" ht="18" x14ac:dyDescent="0.35">
      <c r="A30" s="73" t="s">
        <v>88</v>
      </c>
      <c r="B30" s="74">
        <v>3</v>
      </c>
      <c r="C30" s="88" t="s">
        <v>89</v>
      </c>
      <c r="D30" s="74">
        <v>470</v>
      </c>
      <c r="E30" s="88" t="s">
        <v>87</v>
      </c>
      <c r="F30" s="68"/>
      <c r="G30" s="68"/>
    </row>
    <row r="31" spans="1:7" ht="18" x14ac:dyDescent="0.35">
      <c r="A31" s="73" t="s">
        <v>93</v>
      </c>
      <c r="B31" s="74">
        <v>3</v>
      </c>
      <c r="C31" s="88" t="s">
        <v>94</v>
      </c>
      <c r="D31" s="74">
        <v>1256</v>
      </c>
      <c r="E31" s="88" t="s">
        <v>130</v>
      </c>
      <c r="F31" s="68"/>
      <c r="G31" s="68"/>
    </row>
    <row r="32" spans="1:7" ht="18" x14ac:dyDescent="0.35">
      <c r="A32" s="79" t="s">
        <v>106</v>
      </c>
      <c r="B32" s="80">
        <v>4</v>
      </c>
      <c r="C32" s="86" t="s">
        <v>107</v>
      </c>
      <c r="D32" s="80">
        <v>505</v>
      </c>
      <c r="E32" s="86" t="s">
        <v>105</v>
      </c>
      <c r="F32" s="81"/>
      <c r="G32" s="81"/>
    </row>
    <row r="33" spans="1:7" ht="18" x14ac:dyDescent="0.35">
      <c r="A33" s="79" t="s">
        <v>138</v>
      </c>
      <c r="B33" s="80">
        <v>4</v>
      </c>
      <c r="C33" s="86" t="s">
        <v>128</v>
      </c>
      <c r="D33" s="80"/>
      <c r="E33" s="86" t="s">
        <v>95</v>
      </c>
      <c r="F33" s="81"/>
      <c r="G33" s="81"/>
    </row>
    <row r="34" spans="1:7" ht="18" x14ac:dyDescent="0.35">
      <c r="A34" s="79" t="s">
        <v>123</v>
      </c>
      <c r="B34" s="80">
        <v>4</v>
      </c>
      <c r="C34" s="86" t="s">
        <v>124</v>
      </c>
      <c r="D34" s="80">
        <v>13</v>
      </c>
      <c r="E34" s="86" t="s">
        <v>122</v>
      </c>
      <c r="F34" s="81"/>
      <c r="G34" s="81"/>
    </row>
    <row r="35" spans="1:7" ht="18" x14ac:dyDescent="0.35">
      <c r="A35" s="79" t="s">
        <v>109</v>
      </c>
      <c r="B35" s="80">
        <v>4</v>
      </c>
      <c r="C35" s="86" t="s">
        <v>110</v>
      </c>
      <c r="D35" s="80">
        <v>97</v>
      </c>
      <c r="E35" s="86" t="s">
        <v>108</v>
      </c>
      <c r="F35" s="81"/>
      <c r="G35" s="81"/>
    </row>
    <row r="36" spans="1:7" ht="18" x14ac:dyDescent="0.35">
      <c r="A36" s="79" t="s">
        <v>115</v>
      </c>
      <c r="B36" s="80">
        <v>4</v>
      </c>
      <c r="C36" s="86" t="s">
        <v>116</v>
      </c>
      <c r="D36" s="80">
        <v>5155</v>
      </c>
      <c r="E36" s="86" t="s">
        <v>114</v>
      </c>
      <c r="F36" s="81"/>
      <c r="G36" s="81"/>
    </row>
    <row r="37" spans="1:7" ht="18" x14ac:dyDescent="0.35">
      <c r="A37" s="79" t="s">
        <v>103</v>
      </c>
      <c r="B37" s="80">
        <v>4</v>
      </c>
      <c r="C37" s="86" t="s">
        <v>104</v>
      </c>
      <c r="D37" s="80">
        <v>485</v>
      </c>
      <c r="E37" s="86" t="s">
        <v>102</v>
      </c>
      <c r="F37" s="81"/>
      <c r="G37" s="81"/>
    </row>
    <row r="38" spans="1:7" ht="18" x14ac:dyDescent="0.35">
      <c r="A38" s="79" t="s">
        <v>112</v>
      </c>
      <c r="B38" s="80">
        <v>4</v>
      </c>
      <c r="C38" s="86" t="s">
        <v>113</v>
      </c>
      <c r="D38" s="80">
        <v>144</v>
      </c>
      <c r="E38" s="86" t="s">
        <v>111</v>
      </c>
      <c r="F38" s="81"/>
      <c r="G38" s="81"/>
    </row>
    <row r="39" spans="1:7" ht="18" x14ac:dyDescent="0.35">
      <c r="A39" s="79" t="s">
        <v>125</v>
      </c>
      <c r="B39" s="80">
        <v>4</v>
      </c>
      <c r="C39" s="86" t="s">
        <v>118</v>
      </c>
      <c r="D39" s="80">
        <v>222</v>
      </c>
      <c r="E39" s="86" t="s">
        <v>117</v>
      </c>
      <c r="F39" s="81"/>
      <c r="G39" s="81"/>
    </row>
  </sheetData>
  <sortState ref="A10:G39">
    <sortCondition ref="B10:B39"/>
    <sortCondition ref="A10:A39"/>
  </sortState>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M30"/>
  <sheetViews>
    <sheetView zoomScale="67" zoomScaleNormal="67" workbookViewId="0">
      <selection activeCell="A7" sqref="A7:O7"/>
    </sheetView>
  </sheetViews>
  <sheetFormatPr defaultRowHeight="14.4" x14ac:dyDescent="0.3"/>
  <cols>
    <col min="1" max="1" width="15.6640625" customWidth="1"/>
    <col min="2" max="2" width="16.5546875" customWidth="1"/>
    <col min="3" max="3" width="9.33203125" customWidth="1"/>
    <col min="4" max="4" width="9.6640625" customWidth="1"/>
    <col min="5" max="5" width="18.44140625" customWidth="1"/>
    <col min="6" max="7" width="8.6640625" customWidth="1"/>
    <col min="8" max="8" width="10.6640625" customWidth="1"/>
    <col min="9" max="9" width="9.109375" bestFit="1" customWidth="1"/>
    <col min="10" max="10" width="10.6640625" customWidth="1"/>
    <col min="11" max="11" width="8.6640625" customWidth="1"/>
    <col min="12" max="12" width="8.6640625" style="1" customWidth="1"/>
    <col min="13" max="13" width="9" customWidth="1"/>
    <col min="14" max="14" width="9.44140625" customWidth="1"/>
    <col min="15" max="15" width="8.6640625" style="1" customWidth="1"/>
    <col min="25" max="26" width="16" bestFit="1" customWidth="1"/>
    <col min="27" max="27" width="9.5546875" bestFit="1" customWidth="1"/>
    <col min="32" max="32" width="10.5546875" bestFit="1" customWidth="1"/>
  </cols>
  <sheetData>
    <row r="1" spans="1:39" x14ac:dyDescent="0.3">
      <c r="A1" s="47"/>
      <c r="B1" s="47"/>
      <c r="C1" s="47"/>
      <c r="D1" s="47"/>
      <c r="E1" s="47"/>
      <c r="F1" s="47"/>
      <c r="G1" s="47"/>
      <c r="H1" s="47"/>
      <c r="I1" s="47"/>
      <c r="J1" s="47"/>
      <c r="K1" s="47"/>
      <c r="L1" s="50"/>
      <c r="M1" s="47"/>
      <c r="N1" s="47"/>
      <c r="O1" s="50"/>
      <c r="P1" s="47"/>
      <c r="Q1" s="47"/>
      <c r="R1" s="47"/>
      <c r="S1" s="56"/>
      <c r="T1" s="31"/>
      <c r="U1" s="32"/>
      <c r="V1" s="32"/>
      <c r="W1" s="32"/>
      <c r="X1" s="32"/>
      <c r="Y1" s="34" t="s">
        <v>43</v>
      </c>
      <c r="Z1" s="32"/>
      <c r="AA1" s="32"/>
      <c r="AB1" s="32"/>
      <c r="AC1" s="32"/>
      <c r="AD1" s="32"/>
      <c r="AE1" s="52"/>
    </row>
    <row r="2" spans="1:39" x14ac:dyDescent="0.3">
      <c r="A2" s="47"/>
      <c r="B2" s="47"/>
      <c r="C2" s="47"/>
      <c r="D2" s="47"/>
      <c r="E2" s="47"/>
      <c r="F2" s="47"/>
      <c r="G2" s="47"/>
      <c r="H2" s="47"/>
      <c r="I2" s="47"/>
      <c r="J2" s="47"/>
      <c r="K2" s="47"/>
      <c r="L2" s="50"/>
      <c r="M2" s="47"/>
      <c r="N2" s="47"/>
      <c r="O2" s="50"/>
      <c r="P2" s="47"/>
      <c r="Q2" s="47"/>
      <c r="R2" s="47"/>
      <c r="S2" s="56"/>
      <c r="T2" s="31"/>
      <c r="U2" s="32"/>
      <c r="V2" s="32"/>
      <c r="W2" s="32"/>
      <c r="X2" s="32"/>
      <c r="Y2" s="41">
        <f>MIN(N10:N24)</f>
        <v>120.55800293685756</v>
      </c>
      <c r="Z2" s="32"/>
      <c r="AA2" s="32"/>
      <c r="AB2" s="32"/>
      <c r="AC2" s="32"/>
      <c r="AD2" s="32"/>
      <c r="AE2" s="52"/>
    </row>
    <row r="3" spans="1:39" ht="18" x14ac:dyDescent="0.35">
      <c r="A3" s="18">
        <v>0</v>
      </c>
      <c r="B3" s="51" t="s">
        <v>52</v>
      </c>
      <c r="C3" s="47"/>
      <c r="D3" s="47"/>
      <c r="E3" s="47"/>
      <c r="F3" s="47"/>
      <c r="G3" s="47"/>
      <c r="H3" s="47"/>
      <c r="I3" s="47"/>
      <c r="J3" s="47"/>
      <c r="K3" s="47"/>
      <c r="L3" s="50"/>
      <c r="M3" s="47"/>
      <c r="N3" s="47"/>
      <c r="O3" s="50"/>
      <c r="P3" s="47"/>
      <c r="Q3" s="47"/>
      <c r="R3" s="47"/>
      <c r="S3" s="56"/>
      <c r="T3" s="31"/>
      <c r="U3" s="32"/>
      <c r="V3" s="32"/>
      <c r="W3" s="32"/>
      <c r="X3" s="32"/>
      <c r="Y3" s="32"/>
      <c r="Z3" s="32"/>
      <c r="AA3" s="32"/>
      <c r="AB3" s="32"/>
      <c r="AC3" s="32"/>
      <c r="AD3" s="32"/>
      <c r="AE3" s="52"/>
    </row>
    <row r="4" spans="1:39" x14ac:dyDescent="0.3">
      <c r="A4" s="47"/>
      <c r="B4" s="47"/>
      <c r="C4" s="47"/>
      <c r="D4" s="47"/>
      <c r="E4" s="47"/>
      <c r="F4" s="47"/>
      <c r="G4" s="47"/>
      <c r="H4" s="47"/>
      <c r="I4" s="47"/>
      <c r="J4" s="47"/>
      <c r="K4" s="47"/>
      <c r="L4" s="50"/>
      <c r="M4" s="47"/>
      <c r="N4" s="47"/>
      <c r="O4" s="50"/>
      <c r="P4" s="47"/>
      <c r="Q4" s="47"/>
      <c r="R4" s="47"/>
      <c r="S4" s="56"/>
      <c r="T4" s="31"/>
      <c r="U4" s="32"/>
      <c r="V4" s="32"/>
      <c r="W4" s="32"/>
      <c r="X4" s="32"/>
      <c r="Y4" s="32"/>
      <c r="Z4" s="32"/>
      <c r="AA4" s="32"/>
      <c r="AB4" s="32"/>
      <c r="AC4" s="32"/>
      <c r="AD4" s="32"/>
      <c r="AE4" s="52"/>
    </row>
    <row r="5" spans="1:39" ht="31.2" x14ac:dyDescent="0.6">
      <c r="A5" s="94" t="s">
        <v>51</v>
      </c>
      <c r="B5" s="94"/>
      <c r="C5" s="94"/>
      <c r="D5" s="94"/>
      <c r="E5" s="94"/>
      <c r="F5" s="94"/>
      <c r="G5" s="94"/>
      <c r="H5" s="94"/>
      <c r="I5" s="94"/>
      <c r="J5" s="94"/>
      <c r="K5" s="94"/>
      <c r="L5" s="94"/>
      <c r="M5" s="94"/>
      <c r="N5" s="94"/>
      <c r="O5" s="94"/>
      <c r="P5" s="47"/>
      <c r="Q5" s="47"/>
      <c r="R5" s="47"/>
      <c r="S5" s="56"/>
      <c r="T5" s="33"/>
      <c r="U5" s="32"/>
      <c r="V5" s="32"/>
      <c r="W5" s="32"/>
      <c r="X5" s="32"/>
      <c r="Y5" s="32"/>
      <c r="Z5" s="32" t="s">
        <v>59</v>
      </c>
      <c r="AA5" s="32"/>
      <c r="AB5" s="32"/>
      <c r="AC5" s="32"/>
      <c r="AD5" s="32"/>
      <c r="AE5" s="52"/>
    </row>
    <row r="6" spans="1:39" s="8" customFormat="1" ht="18.600000000000001" thickBot="1" x14ac:dyDescent="0.4">
      <c r="A6" s="95" t="s">
        <v>167</v>
      </c>
      <c r="B6" s="95"/>
      <c r="C6" s="95"/>
      <c r="D6" s="95"/>
      <c r="E6" s="95"/>
      <c r="F6" s="95"/>
      <c r="G6" s="95"/>
      <c r="H6" s="95"/>
      <c r="I6" s="95"/>
      <c r="J6" s="95"/>
      <c r="K6" s="95"/>
      <c r="L6" s="95"/>
      <c r="M6" s="95"/>
      <c r="N6" s="95"/>
      <c r="O6" s="95"/>
      <c r="P6" s="48"/>
      <c r="Q6" s="48"/>
      <c r="R6" s="48"/>
      <c r="S6" s="57"/>
      <c r="T6" s="33"/>
      <c r="U6" s="34"/>
      <c r="V6" s="34"/>
      <c r="W6" s="34"/>
      <c r="X6" s="34"/>
      <c r="Y6" s="35" t="s">
        <v>58</v>
      </c>
      <c r="Z6" s="34" t="s">
        <v>60</v>
      </c>
      <c r="AA6" s="36"/>
      <c r="AB6" s="34"/>
      <c r="AC6" s="34"/>
      <c r="AD6" s="34"/>
      <c r="AE6" s="53"/>
    </row>
    <row r="7" spans="1:39" ht="18" customHeight="1" thickTop="1" x14ac:dyDescent="0.3">
      <c r="A7" s="96"/>
      <c r="B7" s="96"/>
      <c r="C7" s="96"/>
      <c r="D7" s="96"/>
      <c r="E7" s="96"/>
      <c r="F7" s="96"/>
      <c r="G7" s="96"/>
      <c r="H7" s="96"/>
      <c r="I7" s="96"/>
      <c r="J7" s="96"/>
      <c r="K7" s="96"/>
      <c r="L7" s="96"/>
      <c r="M7" s="96"/>
      <c r="N7" s="96"/>
      <c r="O7" s="96"/>
      <c r="P7" s="23" t="s">
        <v>31</v>
      </c>
      <c r="Q7" s="23" t="s">
        <v>31</v>
      </c>
      <c r="R7" s="49" t="s">
        <v>55</v>
      </c>
      <c r="S7" s="58"/>
      <c r="T7" s="97" t="s">
        <v>50</v>
      </c>
      <c r="U7" s="98"/>
      <c r="V7" s="99"/>
      <c r="W7" s="32"/>
      <c r="X7" s="32"/>
      <c r="Y7" s="36" t="s">
        <v>56</v>
      </c>
      <c r="Z7" s="36" t="s">
        <v>56</v>
      </c>
      <c r="AA7" s="36"/>
      <c r="AB7" s="32"/>
      <c r="AC7" s="54" t="s">
        <v>72</v>
      </c>
      <c r="AD7" s="32"/>
      <c r="AE7" s="52"/>
    </row>
    <row r="8" spans="1:39" s="8" customFormat="1" ht="18" x14ac:dyDescent="0.35">
      <c r="A8" s="17"/>
      <c r="B8" s="17"/>
      <c r="C8" s="16"/>
      <c r="D8" s="16"/>
      <c r="E8" s="16"/>
      <c r="F8" s="16"/>
      <c r="G8" s="100" t="s">
        <v>49</v>
      </c>
      <c r="H8" s="100"/>
      <c r="I8" s="100" t="s">
        <v>48</v>
      </c>
      <c r="J8" s="100"/>
      <c r="K8" s="100" t="s">
        <v>47</v>
      </c>
      <c r="L8" s="100"/>
      <c r="M8" s="55" t="s">
        <v>46</v>
      </c>
      <c r="N8" s="55" t="s">
        <v>45</v>
      </c>
      <c r="O8" s="19"/>
      <c r="P8" s="24" t="s">
        <v>29</v>
      </c>
      <c r="Q8" s="24" t="s">
        <v>29</v>
      </c>
      <c r="R8" s="22" t="s">
        <v>53</v>
      </c>
      <c r="S8" s="59"/>
      <c r="T8" s="37" t="s">
        <v>44</v>
      </c>
      <c r="U8" s="35"/>
      <c r="V8" s="38"/>
      <c r="W8" s="32"/>
      <c r="X8" s="34"/>
      <c r="Y8" s="39" t="s">
        <v>57</v>
      </c>
      <c r="Z8" s="35"/>
      <c r="AA8" s="35"/>
      <c r="AB8" s="35"/>
      <c r="AC8" s="35">
        <f>MAX(AC10:AC24)</f>
        <v>4</v>
      </c>
      <c r="AD8" s="35"/>
      <c r="AE8" s="53"/>
    </row>
    <row r="9" spans="1:39" s="8" customFormat="1" ht="18.600000000000001" thickBot="1" x14ac:dyDescent="0.4">
      <c r="A9" s="15" t="s">
        <v>42</v>
      </c>
      <c r="B9" s="15" t="s">
        <v>41</v>
      </c>
      <c r="C9" s="55" t="s">
        <v>40</v>
      </c>
      <c r="D9" s="55" t="s">
        <v>39</v>
      </c>
      <c r="E9" s="55" t="s">
        <v>38</v>
      </c>
      <c r="F9" s="55" t="s">
        <v>37</v>
      </c>
      <c r="G9" s="55" t="s">
        <v>36</v>
      </c>
      <c r="H9" s="55" t="s">
        <v>35</v>
      </c>
      <c r="I9" s="55" t="s">
        <v>36</v>
      </c>
      <c r="J9" s="55" t="s">
        <v>35</v>
      </c>
      <c r="K9" s="55" t="s">
        <v>34</v>
      </c>
      <c r="L9" s="92" t="s">
        <v>33</v>
      </c>
      <c r="M9" s="55" t="s">
        <v>32</v>
      </c>
      <c r="N9" s="55" t="s">
        <v>31</v>
      </c>
      <c r="O9" s="19" t="s">
        <v>30</v>
      </c>
      <c r="P9" s="25" t="s">
        <v>43</v>
      </c>
      <c r="Q9" s="26" t="s">
        <v>66</v>
      </c>
      <c r="R9" s="22" t="s">
        <v>54</v>
      </c>
      <c r="S9" s="59"/>
      <c r="T9" s="40" t="s">
        <v>28</v>
      </c>
      <c r="U9" s="35"/>
      <c r="V9" s="38"/>
      <c r="W9" s="32"/>
      <c r="X9" s="34"/>
      <c r="Y9" s="35"/>
      <c r="Z9" s="35"/>
      <c r="AA9" s="35"/>
      <c r="AB9" s="32"/>
      <c r="AC9" s="32"/>
      <c r="AD9" s="32"/>
      <c r="AE9" s="52"/>
      <c r="AF9"/>
      <c r="AG9"/>
      <c r="AH9"/>
      <c r="AI9"/>
      <c r="AJ9"/>
      <c r="AK9"/>
      <c r="AL9"/>
      <c r="AM9"/>
    </row>
    <row r="10" spans="1:39" s="8" customFormat="1" ht="30" customHeight="1" thickTop="1" x14ac:dyDescent="0.35">
      <c r="A10" s="65" t="s">
        <v>27</v>
      </c>
      <c r="B10" s="65" t="s">
        <v>26</v>
      </c>
      <c r="C10" s="65"/>
      <c r="D10" s="65"/>
      <c r="E10" s="67" t="s">
        <v>25</v>
      </c>
      <c r="F10" s="66">
        <v>75</v>
      </c>
      <c r="G10" s="66">
        <v>208</v>
      </c>
      <c r="H10" s="11">
        <f>IFERROR(G10+15,"")</f>
        <v>223</v>
      </c>
      <c r="I10" s="14">
        <f>IF(T10 = "s",1000/(900+G10),"")</f>
        <v>0.90252707581227432</v>
      </c>
      <c r="J10" s="14" t="str">
        <f>IF(T10 ="n",1000/(900+H10),"")</f>
        <v/>
      </c>
      <c r="K10" s="27" t="str">
        <f>IF(AK10&gt;0,VLOOKUP($B10,'Finish Times'!$A$10:$G$40,6,FALSE),"")</f>
        <v/>
      </c>
      <c r="L10" s="11" t="str">
        <f>IF(AK10&gt;0,VLOOKUP($B10,'Finish Times'!$A$10:$G$40,7,FALSE),"")</f>
        <v/>
      </c>
      <c r="M10" s="12" t="str">
        <f>IF(AK10&gt;0,(K10+L10/60)-A$3," ")</f>
        <v xml:space="preserve"> </v>
      </c>
      <c r="N10" s="12" t="str">
        <f t="shared" ref="N10:O24" si="0">IFERROR(U10," ")</f>
        <v/>
      </c>
      <c r="O10" s="11" t="s">
        <v>166</v>
      </c>
      <c r="P10" s="28" t="str">
        <f t="shared" ref="P10:P24" si="1">IFERROR(N10-$Y$2,"")</f>
        <v/>
      </c>
      <c r="Q10" s="62" t="s">
        <v>67</v>
      </c>
      <c r="R10" s="30" t="str">
        <f t="shared" ref="R10:R24" si="2">IFERROR(ROUND((1000/Y10)-900,0),"")</f>
        <v/>
      </c>
      <c r="S10" s="60"/>
      <c r="T10" s="69" t="s">
        <v>7</v>
      </c>
      <c r="U10" s="42" t="str">
        <f>IFERROR(IF(M10&gt;0,IF(T10="s",M10*I10,0)+IF(T10="n",M10*J10,0)," "),"")</f>
        <v/>
      </c>
      <c r="V10" s="42" t="str">
        <f>IFERROR(RANK(N10,$N$10:$N$24,1),"")</f>
        <v/>
      </c>
      <c r="W10" s="34"/>
      <c r="X10" s="34"/>
      <c r="Y10" s="43" t="str">
        <f t="shared" ref="Y10:Y24" si="3">IFERROR($Y$2/M10,"")</f>
        <v/>
      </c>
      <c r="Z10" s="44" t="str">
        <f>IFERROR(M10*Y10,"")</f>
        <v/>
      </c>
      <c r="AA10" s="34"/>
      <c r="AB10" s="45">
        <v>1</v>
      </c>
      <c r="AC10" s="45" t="s">
        <v>67</v>
      </c>
      <c r="AD10" s="61" t="s">
        <v>67</v>
      </c>
      <c r="AE10" s="61" t="s">
        <v>67</v>
      </c>
      <c r="AF10"/>
      <c r="AG10"/>
      <c r="AH10" s="27">
        <v>55</v>
      </c>
      <c r="AI10" s="11">
        <v>39</v>
      </c>
      <c r="AJ10"/>
      <c r="AK10" s="27">
        <f>VLOOKUP($B10,'Finish Times'!$A$10:$G$40,6,FALSE)</f>
        <v>0</v>
      </c>
      <c r="AL10"/>
      <c r="AM10"/>
    </row>
    <row r="11" spans="1:39" s="8" customFormat="1" ht="30" customHeight="1" x14ac:dyDescent="0.35">
      <c r="A11" s="65" t="s">
        <v>24</v>
      </c>
      <c r="B11" s="65" t="s">
        <v>23</v>
      </c>
      <c r="C11" s="65"/>
      <c r="D11" s="65"/>
      <c r="E11" s="67" t="s">
        <v>22</v>
      </c>
      <c r="F11" s="66">
        <v>1183</v>
      </c>
      <c r="G11" s="90">
        <v>216</v>
      </c>
      <c r="H11" s="11">
        <f t="shared" ref="H11:H13" si="4">IFERROR(G11+15,"")</f>
        <v>231</v>
      </c>
      <c r="I11" s="14">
        <f>IF(T11 = "s",1000/(900+G11),"")</f>
        <v>0.89605734767025091</v>
      </c>
      <c r="J11" s="14" t="str">
        <f>IF(T11 ="n",1000/(900+H11),"")</f>
        <v/>
      </c>
      <c r="K11" s="27" t="str">
        <f>IF(AK11&gt;0,VLOOKUP($B11,'Finish Times'!$A$10:$G$40,6,FALSE),"")</f>
        <v/>
      </c>
      <c r="L11" s="11" t="str">
        <f>IF(AK11&gt;0,VLOOKUP($B11,'Finish Times'!$A$10:$G$40,7,FALSE),"")</f>
        <v/>
      </c>
      <c r="M11" s="12" t="str">
        <f t="shared" ref="M11:M17" si="5">IF(AK11&gt;0,(K11+L11/60)-A$3," ")</f>
        <v xml:space="preserve"> </v>
      </c>
      <c r="N11" s="12" t="str">
        <f t="shared" si="0"/>
        <v/>
      </c>
      <c r="O11" s="11" t="str">
        <f t="shared" si="0"/>
        <v/>
      </c>
      <c r="P11" s="29" t="str">
        <f t="shared" si="1"/>
        <v/>
      </c>
      <c r="Q11" s="62" t="s">
        <v>67</v>
      </c>
      <c r="R11" s="30" t="str">
        <f t="shared" si="2"/>
        <v/>
      </c>
      <c r="S11" s="60"/>
      <c r="T11" s="69" t="s">
        <v>7</v>
      </c>
      <c r="U11" s="42" t="str">
        <f t="shared" ref="U11:U24" si="6">IFERROR(IF(M11&gt;0,IF(T11="s",M11*I11,0)+IF(T11="n",M11*J11,0)," "),"")</f>
        <v/>
      </c>
      <c r="V11" s="42" t="str">
        <f t="shared" ref="V11:V24" si="7">IFERROR(RANK(N11,$N$10:$N$24,1),"")</f>
        <v/>
      </c>
      <c r="W11" s="34"/>
      <c r="X11" s="34"/>
      <c r="Y11" s="43" t="str">
        <f t="shared" si="3"/>
        <v/>
      </c>
      <c r="Z11" s="44" t="str">
        <f t="shared" ref="Z11:Z24" si="8">IFERROR(M11*Y11,"")</f>
        <v/>
      </c>
      <c r="AA11" s="34"/>
      <c r="AB11" s="45">
        <v>2</v>
      </c>
      <c r="AC11" s="45" t="s">
        <v>67</v>
      </c>
      <c r="AD11" s="61" t="s">
        <v>67</v>
      </c>
      <c r="AE11" s="61" t="s">
        <v>67</v>
      </c>
      <c r="AF11"/>
      <c r="AG11"/>
      <c r="AH11" s="27">
        <v>56</v>
      </c>
      <c r="AI11" s="11">
        <v>22</v>
      </c>
      <c r="AJ11"/>
      <c r="AK11" s="27">
        <f>VLOOKUP($B11,'Finish Times'!$A$10:$G$40,6,FALSE)</f>
        <v>0</v>
      </c>
      <c r="AL11"/>
      <c r="AM11"/>
    </row>
    <row r="12" spans="1:39" s="8" customFormat="1" ht="30" customHeight="1" x14ac:dyDescent="0.35">
      <c r="A12" s="65" t="s">
        <v>21</v>
      </c>
      <c r="B12" s="65" t="s">
        <v>20</v>
      </c>
      <c r="C12" s="65"/>
      <c r="D12" s="65"/>
      <c r="E12" s="67" t="s">
        <v>19</v>
      </c>
      <c r="F12" s="66">
        <v>14755</v>
      </c>
      <c r="G12" s="66">
        <v>218</v>
      </c>
      <c r="H12" s="11">
        <f t="shared" si="4"/>
        <v>233</v>
      </c>
      <c r="I12" s="14">
        <f>IF(T12 = "s",1000/(900+G12),"")</f>
        <v>0.89445438282647582</v>
      </c>
      <c r="J12" s="14" t="str">
        <f>IF(T12 ="n",1000/(900+H12),"")</f>
        <v/>
      </c>
      <c r="K12" s="27" t="str">
        <f>IF(AK12&gt;0,VLOOKUP($B12,'Finish Times'!$A$10:$G$40,6,FALSE),"")</f>
        <v/>
      </c>
      <c r="L12" s="11" t="str">
        <f>IF(AK12&gt;0,VLOOKUP($B12,'Finish Times'!$A$10:$G$40,7,FALSE),"")</f>
        <v/>
      </c>
      <c r="M12" s="12" t="str">
        <f t="shared" si="5"/>
        <v xml:space="preserve"> </v>
      </c>
      <c r="N12" s="12" t="str">
        <f t="shared" si="0"/>
        <v/>
      </c>
      <c r="O12" s="11" t="str">
        <f t="shared" si="0"/>
        <v/>
      </c>
      <c r="P12" s="29" t="str">
        <f t="shared" si="1"/>
        <v/>
      </c>
      <c r="Q12" s="62" t="s">
        <v>67</v>
      </c>
      <c r="R12" s="30" t="str">
        <f t="shared" si="2"/>
        <v/>
      </c>
      <c r="S12" s="60"/>
      <c r="T12" s="69" t="s">
        <v>7</v>
      </c>
      <c r="U12" s="42" t="str">
        <f t="shared" si="6"/>
        <v/>
      </c>
      <c r="V12" s="42" t="str">
        <f t="shared" si="7"/>
        <v/>
      </c>
      <c r="W12" s="34"/>
      <c r="X12" s="34"/>
      <c r="Y12" s="43" t="str">
        <f t="shared" si="3"/>
        <v/>
      </c>
      <c r="Z12" s="44" t="str">
        <f t="shared" si="8"/>
        <v/>
      </c>
      <c r="AA12" s="34"/>
      <c r="AB12" s="45">
        <v>3</v>
      </c>
      <c r="AC12" s="45" t="s">
        <v>67</v>
      </c>
      <c r="AD12" s="61" t="s">
        <v>67</v>
      </c>
      <c r="AE12" s="61" t="s">
        <v>67</v>
      </c>
      <c r="AF12"/>
      <c r="AG12"/>
      <c r="AH12" s="27">
        <v>54</v>
      </c>
      <c r="AI12" s="11">
        <v>9</v>
      </c>
      <c r="AJ12"/>
      <c r="AK12" s="27">
        <f>VLOOKUP($B12,'Finish Times'!$A$10:$G$40,6,FALSE)</f>
        <v>0</v>
      </c>
      <c r="AL12"/>
      <c r="AM12"/>
    </row>
    <row r="13" spans="1:39" s="8" customFormat="1" ht="30" customHeight="1" x14ac:dyDescent="0.35">
      <c r="A13" s="65" t="s">
        <v>10</v>
      </c>
      <c r="B13" s="65" t="s">
        <v>9</v>
      </c>
      <c r="C13" s="65"/>
      <c r="D13" s="65"/>
      <c r="E13" s="67" t="s">
        <v>8</v>
      </c>
      <c r="F13" s="66">
        <v>1687</v>
      </c>
      <c r="G13" s="66">
        <v>224</v>
      </c>
      <c r="H13" s="11">
        <f t="shared" si="4"/>
        <v>239</v>
      </c>
      <c r="I13" s="14">
        <f>IF(T13 = "s",1000/(900+G13),"")</f>
        <v>0.88967971530249113</v>
      </c>
      <c r="J13" s="14" t="str">
        <f>IF(T13 ="n",1000/(900+H13),"")</f>
        <v/>
      </c>
      <c r="K13" s="27" t="str">
        <f>IF(AK13&gt;0,VLOOKUP($B13,'Finish Times'!$A$10:$G$40,6,FALSE),"")</f>
        <v/>
      </c>
      <c r="L13" s="11" t="str">
        <f>IF(AK13&gt;0,VLOOKUP($B13,'Finish Times'!$A$10:$G$40,7,FALSE),"")</f>
        <v/>
      </c>
      <c r="M13" s="12" t="str">
        <f t="shared" si="5"/>
        <v xml:space="preserve"> </v>
      </c>
      <c r="N13" s="12" t="str">
        <f t="shared" si="0"/>
        <v/>
      </c>
      <c r="O13" s="11" t="str">
        <f t="shared" si="0"/>
        <v/>
      </c>
      <c r="P13" s="29" t="str">
        <f t="shared" si="1"/>
        <v/>
      </c>
      <c r="Q13" s="62" t="s">
        <v>67</v>
      </c>
      <c r="R13" s="30" t="str">
        <f t="shared" si="2"/>
        <v/>
      </c>
      <c r="S13" s="60"/>
      <c r="T13" s="69" t="s">
        <v>7</v>
      </c>
      <c r="U13" s="42" t="str">
        <f t="shared" si="6"/>
        <v/>
      </c>
      <c r="V13" s="42" t="str">
        <f t="shared" si="7"/>
        <v/>
      </c>
      <c r="W13" s="34"/>
      <c r="X13" s="34"/>
      <c r="Y13" s="43" t="str">
        <f t="shared" si="3"/>
        <v/>
      </c>
      <c r="Z13" s="44" t="str">
        <f t="shared" si="8"/>
        <v/>
      </c>
      <c r="AA13" s="34"/>
      <c r="AB13" s="45">
        <v>4</v>
      </c>
      <c r="AC13" s="45" t="s">
        <v>67</v>
      </c>
      <c r="AD13" s="61" t="s">
        <v>67</v>
      </c>
      <c r="AE13" s="61" t="s">
        <v>67</v>
      </c>
      <c r="AF13"/>
      <c r="AG13"/>
      <c r="AH13" s="27">
        <v>62</v>
      </c>
      <c r="AI13" s="11">
        <v>59</v>
      </c>
      <c r="AJ13"/>
      <c r="AK13" s="27">
        <f>VLOOKUP($B13,'Finish Times'!$A$10:$G$40,6,FALSE)</f>
        <v>0</v>
      </c>
      <c r="AL13"/>
      <c r="AM13"/>
    </row>
    <row r="14" spans="1:39" s="8" customFormat="1" ht="30" customHeight="1" x14ac:dyDescent="0.35">
      <c r="A14" s="65" t="s">
        <v>18</v>
      </c>
      <c r="B14" s="65" t="s">
        <v>17</v>
      </c>
      <c r="C14" s="65"/>
      <c r="D14" s="65"/>
      <c r="E14" s="67" t="s">
        <v>14</v>
      </c>
      <c r="F14" s="66">
        <v>212</v>
      </c>
      <c r="G14" s="66">
        <v>220</v>
      </c>
      <c r="H14" s="11">
        <f t="shared" ref="H14:H17" si="9">IFERROR(G14+15,"")</f>
        <v>235</v>
      </c>
      <c r="I14" s="14" t="str">
        <f t="shared" ref="I14:I17" si="10">IF(T14 = "s",1000/(900+G14),"")</f>
        <v/>
      </c>
      <c r="J14" s="14">
        <f t="shared" ref="J14:J17" si="11">IF(T14 ="n",1000/(900+H14),"")</f>
        <v>0.88105726872246692</v>
      </c>
      <c r="K14" s="27">
        <f>IF(AK14&gt;0,VLOOKUP($B14,'Finish Times'!$A$10:$G$40,6,FALSE),"")</f>
        <v>136</v>
      </c>
      <c r="L14" s="11">
        <f>IF(AK14&gt;0,VLOOKUP($B14,'Finish Times'!$A$10:$G$40,7,FALSE),"")</f>
        <v>50</v>
      </c>
      <c r="M14" s="12">
        <f t="shared" si="5"/>
        <v>136.83333333333334</v>
      </c>
      <c r="N14" s="12">
        <f t="shared" ref="N14:N17" si="12">IFERROR(U14," ")</f>
        <v>120.55800293685756</v>
      </c>
      <c r="O14" s="11">
        <f t="shared" ref="O14:O17" si="13">IFERROR(V14," ")</f>
        <v>1</v>
      </c>
      <c r="P14" s="29">
        <f t="shared" ref="P14:P17" si="14">IFERROR(N14-$Y$2,"")</f>
        <v>0</v>
      </c>
      <c r="Q14" s="62"/>
      <c r="R14" s="30">
        <f t="shared" ref="R14:R17" si="15">IFERROR(ROUND((1000/Y14)-900,0),"")</f>
        <v>235</v>
      </c>
      <c r="S14" s="60"/>
      <c r="T14" s="69" t="s">
        <v>6</v>
      </c>
      <c r="U14" s="42">
        <f t="shared" si="6"/>
        <v>120.55800293685756</v>
      </c>
      <c r="V14" s="42">
        <f t="shared" si="7"/>
        <v>1</v>
      </c>
      <c r="W14" s="34"/>
      <c r="X14" s="34"/>
      <c r="Y14" s="43">
        <f t="shared" si="3"/>
        <v>0.88105726872246692</v>
      </c>
      <c r="Z14" s="44">
        <f t="shared" si="8"/>
        <v>120.55800293685756</v>
      </c>
      <c r="AA14" s="34"/>
      <c r="AB14" s="45">
        <v>5</v>
      </c>
      <c r="AC14" s="45">
        <v>1</v>
      </c>
      <c r="AD14" s="61">
        <v>0</v>
      </c>
      <c r="AE14" s="61"/>
      <c r="AF14"/>
      <c r="AG14"/>
      <c r="AH14" s="27">
        <v>59</v>
      </c>
      <c r="AI14" s="11">
        <v>12</v>
      </c>
      <c r="AJ14"/>
      <c r="AK14" s="27">
        <f>VLOOKUP($B14,'Finish Times'!$A$10:$G$40,6,FALSE)</f>
        <v>136</v>
      </c>
      <c r="AL14"/>
      <c r="AM14"/>
    </row>
    <row r="15" spans="1:39" s="8" customFormat="1" ht="30" customHeight="1" x14ac:dyDescent="0.35">
      <c r="A15" s="65" t="s">
        <v>92</v>
      </c>
      <c r="B15" s="65" t="s">
        <v>129</v>
      </c>
      <c r="C15" s="65"/>
      <c r="D15" s="65"/>
      <c r="E15" s="67" t="s">
        <v>14</v>
      </c>
      <c r="F15" s="66">
        <v>215</v>
      </c>
      <c r="G15" s="66">
        <v>220</v>
      </c>
      <c r="H15" s="11">
        <f t="shared" si="9"/>
        <v>235</v>
      </c>
      <c r="I15" s="14" t="str">
        <f t="shared" si="10"/>
        <v/>
      </c>
      <c r="J15" s="14">
        <f t="shared" si="11"/>
        <v>0.88105726872246692</v>
      </c>
      <c r="K15" s="27" t="str">
        <f>IF(AK15&gt;0,VLOOKUP($B15,'Finish Times'!$A$10:$G$40,6,FALSE),"")</f>
        <v/>
      </c>
      <c r="L15" s="11" t="str">
        <f>IF(AK15&gt;0,VLOOKUP($B15,'Finish Times'!$A$10:$G$40,7,FALSE),"")</f>
        <v/>
      </c>
      <c r="M15" s="12" t="str">
        <f t="shared" si="5"/>
        <v xml:space="preserve"> </v>
      </c>
      <c r="N15" s="12" t="str">
        <f t="shared" si="12"/>
        <v/>
      </c>
      <c r="O15" s="11" t="str">
        <f t="shared" si="13"/>
        <v/>
      </c>
      <c r="P15" s="29" t="str">
        <f t="shared" si="14"/>
        <v/>
      </c>
      <c r="Q15" s="62" t="s">
        <v>67</v>
      </c>
      <c r="R15" s="30" t="str">
        <f t="shared" si="15"/>
        <v/>
      </c>
      <c r="S15" s="60"/>
      <c r="T15" s="69" t="s">
        <v>6</v>
      </c>
      <c r="U15" s="42" t="str">
        <f t="shared" si="6"/>
        <v/>
      </c>
      <c r="V15" s="42" t="str">
        <f t="shared" si="7"/>
        <v/>
      </c>
      <c r="W15" s="34"/>
      <c r="X15" s="34"/>
      <c r="Y15" s="43" t="str">
        <f t="shared" si="3"/>
        <v/>
      </c>
      <c r="Z15" s="44" t="str">
        <f t="shared" si="8"/>
        <v/>
      </c>
      <c r="AA15" s="34"/>
      <c r="AB15" s="45">
        <v>6</v>
      </c>
      <c r="AC15" s="45" t="s">
        <v>67</v>
      </c>
      <c r="AD15" s="61" t="s">
        <v>67</v>
      </c>
      <c r="AE15" s="61" t="s">
        <v>67</v>
      </c>
      <c r="AF15"/>
      <c r="AG15"/>
      <c r="AH15" s="27">
        <v>56</v>
      </c>
      <c r="AI15" s="11">
        <v>58</v>
      </c>
      <c r="AJ15"/>
      <c r="AK15" s="27">
        <f>VLOOKUP($B15,'Finish Times'!$A$10:$G$40,6,FALSE)</f>
        <v>0</v>
      </c>
      <c r="AL15"/>
      <c r="AM15"/>
    </row>
    <row r="16" spans="1:39" s="8" customFormat="1" ht="30" customHeight="1" x14ac:dyDescent="0.35">
      <c r="A16" s="65" t="s">
        <v>16</v>
      </c>
      <c r="B16" s="65" t="s">
        <v>15</v>
      </c>
      <c r="C16" s="65"/>
      <c r="D16" s="65"/>
      <c r="E16" s="67" t="s">
        <v>14</v>
      </c>
      <c r="F16" s="66">
        <v>330</v>
      </c>
      <c r="G16" s="66">
        <v>220</v>
      </c>
      <c r="H16" s="11">
        <f t="shared" si="9"/>
        <v>235</v>
      </c>
      <c r="I16" s="14" t="str">
        <f t="shared" si="10"/>
        <v/>
      </c>
      <c r="J16" s="14">
        <f t="shared" si="11"/>
        <v>0.88105726872246692</v>
      </c>
      <c r="K16" s="27">
        <f>IF(AK16&gt;0,VLOOKUP($B16,'Finish Times'!$A$10:$G$40,6,FALSE),"")</f>
        <v>138</v>
      </c>
      <c r="L16" s="11">
        <f>IF(AK16&gt;0,VLOOKUP($B16,'Finish Times'!$A$10:$G$40,7,FALSE),"")</f>
        <v>56</v>
      </c>
      <c r="M16" s="12">
        <f t="shared" si="5"/>
        <v>138.93333333333334</v>
      </c>
      <c r="N16" s="12">
        <f t="shared" si="12"/>
        <v>122.40822320117474</v>
      </c>
      <c r="O16" s="11">
        <f t="shared" si="13"/>
        <v>2</v>
      </c>
      <c r="P16" s="29">
        <f t="shared" si="14"/>
        <v>1.8502202643171728</v>
      </c>
      <c r="Q16" s="62">
        <v>1.8502202643171728</v>
      </c>
      <c r="R16" s="30">
        <f t="shared" si="15"/>
        <v>252</v>
      </c>
      <c r="S16" s="60"/>
      <c r="T16" s="69" t="s">
        <v>6</v>
      </c>
      <c r="U16" s="42">
        <f t="shared" si="6"/>
        <v>122.40822320117474</v>
      </c>
      <c r="V16" s="42">
        <f t="shared" si="7"/>
        <v>2</v>
      </c>
      <c r="W16" s="34"/>
      <c r="X16" s="34"/>
      <c r="Y16" s="43">
        <f t="shared" si="3"/>
        <v>0.86773994436317825</v>
      </c>
      <c r="Z16" s="44">
        <f t="shared" si="8"/>
        <v>120.55800293685756</v>
      </c>
      <c r="AA16" s="34"/>
      <c r="AB16" s="45">
        <v>7</v>
      </c>
      <c r="AC16" s="45">
        <v>2</v>
      </c>
      <c r="AD16" s="61">
        <v>1.8502202643171728</v>
      </c>
      <c r="AE16" s="61">
        <v>1.8502202643171728</v>
      </c>
      <c r="AF16"/>
      <c r="AG16"/>
      <c r="AH16" s="27">
        <v>64</v>
      </c>
      <c r="AI16" s="11">
        <v>47</v>
      </c>
      <c r="AJ16"/>
      <c r="AK16" s="27">
        <f>VLOOKUP($B16,'Finish Times'!$A$10:$G$40,6,FALSE)</f>
        <v>138</v>
      </c>
      <c r="AL16"/>
      <c r="AM16"/>
    </row>
    <row r="17" spans="1:39" s="8" customFormat="1" ht="30" customHeight="1" x14ac:dyDescent="0.35">
      <c r="A17" s="65" t="s">
        <v>114</v>
      </c>
      <c r="B17" s="65" t="s">
        <v>153</v>
      </c>
      <c r="C17" s="65"/>
      <c r="D17" s="65"/>
      <c r="E17" s="67" t="s">
        <v>14</v>
      </c>
      <c r="F17" s="66">
        <v>278</v>
      </c>
      <c r="G17" s="66">
        <v>220</v>
      </c>
      <c r="H17" s="11">
        <f t="shared" si="9"/>
        <v>235</v>
      </c>
      <c r="I17" s="14" t="str">
        <f t="shared" si="10"/>
        <v/>
      </c>
      <c r="J17" s="14">
        <f t="shared" si="11"/>
        <v>0.88105726872246692</v>
      </c>
      <c r="K17" s="27" t="str">
        <f>IF(AK17&gt;0,VLOOKUP($B17,'Finish Times'!$A$10:$G$40,6,FALSE),"")</f>
        <v/>
      </c>
      <c r="L17" s="11" t="str">
        <f>IF(AK17&gt;0,VLOOKUP($B17,'Finish Times'!$A$10:$G$40,7,FALSE),"")</f>
        <v/>
      </c>
      <c r="M17" s="12" t="str">
        <f t="shared" si="5"/>
        <v xml:space="preserve"> </v>
      </c>
      <c r="N17" s="12" t="str">
        <f t="shared" si="12"/>
        <v/>
      </c>
      <c r="O17" s="11" t="str">
        <f t="shared" si="13"/>
        <v/>
      </c>
      <c r="P17" s="29" t="str">
        <f t="shared" si="14"/>
        <v/>
      </c>
      <c r="Q17" s="62" t="s">
        <v>67</v>
      </c>
      <c r="R17" s="30" t="str">
        <f t="shared" si="15"/>
        <v/>
      </c>
      <c r="S17" s="60"/>
      <c r="T17" s="69" t="s">
        <v>6</v>
      </c>
      <c r="U17" s="42" t="str">
        <f t="shared" si="6"/>
        <v/>
      </c>
      <c r="V17" s="42" t="str">
        <f t="shared" si="7"/>
        <v/>
      </c>
      <c r="W17" s="34"/>
      <c r="X17" s="34"/>
      <c r="Y17" s="43" t="str">
        <f t="shared" si="3"/>
        <v/>
      </c>
      <c r="Z17" s="44" t="str">
        <f t="shared" si="8"/>
        <v/>
      </c>
      <c r="AA17" s="34"/>
      <c r="AB17" s="45">
        <v>8</v>
      </c>
      <c r="AC17" s="45" t="s">
        <v>67</v>
      </c>
      <c r="AD17" s="61" t="s">
        <v>67</v>
      </c>
      <c r="AE17" s="61" t="s">
        <v>67</v>
      </c>
      <c r="AF17"/>
      <c r="AG17"/>
      <c r="AH17"/>
      <c r="AI17"/>
      <c r="AJ17"/>
      <c r="AK17" s="27">
        <f>VLOOKUP($B17,'Finish Times'!$A$10:$G$40,6,FALSE)</f>
        <v>0</v>
      </c>
      <c r="AL17"/>
      <c r="AM17"/>
    </row>
    <row r="18" spans="1:39" s="8" customFormat="1" ht="30" customHeight="1" x14ac:dyDescent="0.35">
      <c r="A18" s="65" t="s">
        <v>13</v>
      </c>
      <c r="B18" s="65" t="s">
        <v>12</v>
      </c>
      <c r="C18" s="65"/>
      <c r="D18" s="65"/>
      <c r="E18" s="67" t="s">
        <v>11</v>
      </c>
      <c r="F18" s="66">
        <v>6</v>
      </c>
      <c r="G18" s="66">
        <v>223</v>
      </c>
      <c r="H18" s="11">
        <f t="shared" ref="H18" si="16">IFERROR(G18+15,"")</f>
        <v>238</v>
      </c>
      <c r="I18" s="14" t="str">
        <f t="shared" ref="I18" si="17">IF(T18 = "s",1000/(900+G18),"")</f>
        <v/>
      </c>
      <c r="J18" s="14">
        <f t="shared" ref="J18" si="18">IF(T18 ="n",1000/(900+H18),"")</f>
        <v>0.87873462214411246</v>
      </c>
      <c r="K18" s="27">
        <f>IF(AK18&gt;0,VLOOKUP($B18,'Finish Times'!$A$10:$G$40,6,FALSE),"")</f>
        <v>139</v>
      </c>
      <c r="L18" s="11">
        <f>IF(AK18&gt;0,VLOOKUP($B18,'Finish Times'!$A$10:$G$40,7,FALSE),"")</f>
        <v>41</v>
      </c>
      <c r="M18" s="12">
        <f t="shared" ref="M18" si="19">IF(AK18&gt;0,(K18+L18/60)-A$3," ")</f>
        <v>139.68333333333334</v>
      </c>
      <c r="N18" s="12">
        <f t="shared" ref="N18" si="20">IFERROR(U18," ")</f>
        <v>122.74458113649678</v>
      </c>
      <c r="O18" s="11">
        <f t="shared" ref="O18" si="21">IFERROR(V18," ")</f>
        <v>3</v>
      </c>
      <c r="P18" s="29">
        <f t="shared" ref="P18" si="22">IFERROR(N18-$Y$2,"")</f>
        <v>2.1865781996392144</v>
      </c>
      <c r="Q18" s="62">
        <v>0.33635793532204161</v>
      </c>
      <c r="R18" s="30">
        <f t="shared" ref="R18" si="23">IFERROR(ROUND((1000/Y18)-900,0),"")</f>
        <v>259</v>
      </c>
      <c r="S18" s="60"/>
      <c r="T18" s="69" t="s">
        <v>6</v>
      </c>
      <c r="U18" s="42">
        <f t="shared" si="6"/>
        <v>122.74458113649678</v>
      </c>
      <c r="V18" s="42">
        <f t="shared" si="7"/>
        <v>3</v>
      </c>
      <c r="W18" s="34"/>
      <c r="X18" s="34"/>
      <c r="Y18" s="43">
        <f t="shared" si="3"/>
        <v>0.86308079897523604</v>
      </c>
      <c r="Z18" s="44">
        <f t="shared" si="8"/>
        <v>120.55800293685756</v>
      </c>
      <c r="AA18" s="34"/>
      <c r="AB18" s="45">
        <v>9</v>
      </c>
      <c r="AC18" s="45">
        <v>3</v>
      </c>
      <c r="AD18" s="61">
        <v>2.1865781996392144</v>
      </c>
      <c r="AE18" s="61">
        <v>0.33635793532204161</v>
      </c>
      <c r="AF18"/>
      <c r="AG18"/>
      <c r="AH18"/>
      <c r="AI18"/>
      <c r="AJ18"/>
      <c r="AK18" s="27">
        <f>VLOOKUP($B18,'Finish Times'!$A$10:$G$40,6,FALSE)</f>
        <v>139</v>
      </c>
      <c r="AL18"/>
      <c r="AM18"/>
    </row>
    <row r="19" spans="1:39" s="8" customFormat="1" ht="30" customHeight="1" x14ac:dyDescent="0.35">
      <c r="A19" s="65" t="s">
        <v>156</v>
      </c>
      <c r="B19" s="65" t="s">
        <v>157</v>
      </c>
      <c r="C19" s="65"/>
      <c r="D19" s="65"/>
      <c r="E19" s="67" t="s">
        <v>158</v>
      </c>
      <c r="F19" s="66">
        <v>556</v>
      </c>
      <c r="G19" s="66">
        <v>218</v>
      </c>
      <c r="H19" s="11">
        <f t="shared" ref="H19" si="24">IFERROR(G19+15,"")</f>
        <v>233</v>
      </c>
      <c r="I19" s="14">
        <f t="shared" ref="I19" si="25">IF(T19 = "s",1000/(900+G19),"")</f>
        <v>0.89445438282647582</v>
      </c>
      <c r="J19" s="14" t="str">
        <f t="shared" ref="J19" si="26">IF(T19 ="n",1000/(900+H19),"")</f>
        <v/>
      </c>
      <c r="K19" s="27">
        <f>IF(AK19&gt;0,VLOOKUP($B19,'Finish Times'!$A$10:$G$40,6,FALSE),"")</f>
        <v>170</v>
      </c>
      <c r="L19" s="11">
        <f>IF(AK19&gt;0,VLOOKUP($B19,'Finish Times'!$A$10:$G$40,7,FALSE),"")</f>
        <v>5</v>
      </c>
      <c r="M19" s="12">
        <f t="shared" ref="M19" si="27">IF(AK19&gt;0,(K19+L19/60)-A$3," ")</f>
        <v>170.08333333333334</v>
      </c>
      <c r="N19" s="12">
        <f t="shared" ref="N19" si="28">IFERROR(U19," ")</f>
        <v>152.13178294573643</v>
      </c>
      <c r="O19" s="11">
        <f t="shared" ref="O19" si="29">IFERROR(V19," ")</f>
        <v>4</v>
      </c>
      <c r="P19" s="29">
        <f t="shared" ref="P19" si="30">IFERROR(N19-$Y$2,"")</f>
        <v>31.57378000887887</v>
      </c>
      <c r="Q19" s="62">
        <v>29.387201809239656</v>
      </c>
      <c r="R19" s="30">
        <f t="shared" ref="R19" si="31">IFERROR(ROUND((1000/Y19)-900,0),"")</f>
        <v>511</v>
      </c>
      <c r="S19" s="60"/>
      <c r="T19" s="69" t="s">
        <v>7</v>
      </c>
      <c r="U19" s="42">
        <f t="shared" si="6"/>
        <v>152.13178294573643</v>
      </c>
      <c r="V19" s="42">
        <f t="shared" si="7"/>
        <v>4</v>
      </c>
      <c r="W19" s="34"/>
      <c r="X19" s="34"/>
      <c r="Y19" s="43">
        <f t="shared" si="3"/>
        <v>0.7088172637149881</v>
      </c>
      <c r="Z19" s="44">
        <f t="shared" si="8"/>
        <v>120.55800293685756</v>
      </c>
      <c r="AA19" s="34"/>
      <c r="AB19" s="45">
        <v>10</v>
      </c>
      <c r="AC19" s="45">
        <v>4</v>
      </c>
      <c r="AD19" s="61">
        <v>31.57378000887887</v>
      </c>
      <c r="AE19" s="61">
        <v>29.387201809239656</v>
      </c>
      <c r="AF19"/>
      <c r="AG19"/>
      <c r="AH19"/>
      <c r="AI19"/>
      <c r="AJ19"/>
      <c r="AK19" s="27">
        <f>VLOOKUP($B19,'Finish Times'!$A$10:$G$40,6,FALSE)</f>
        <v>170</v>
      </c>
      <c r="AL19"/>
      <c r="AM19"/>
    </row>
    <row r="20" spans="1:39" s="8" customFormat="1" ht="30" customHeight="1" x14ac:dyDescent="0.35">
      <c r="A20" s="65"/>
      <c r="B20" s="65"/>
      <c r="C20" s="65"/>
      <c r="D20" s="65"/>
      <c r="E20" s="67"/>
      <c r="F20" s="66"/>
      <c r="G20" s="66"/>
      <c r="H20" s="11"/>
      <c r="I20" s="14"/>
      <c r="J20" s="14"/>
      <c r="K20" s="27"/>
      <c r="L20" s="11"/>
      <c r="M20" s="12"/>
      <c r="N20" s="12" t="str">
        <f t="shared" si="0"/>
        <v xml:space="preserve"> </v>
      </c>
      <c r="O20" s="11" t="str">
        <f t="shared" si="0"/>
        <v/>
      </c>
      <c r="P20" s="29" t="str">
        <f t="shared" si="1"/>
        <v/>
      </c>
      <c r="Q20" s="62" t="s">
        <v>67</v>
      </c>
      <c r="R20" s="30" t="str">
        <f t="shared" si="2"/>
        <v/>
      </c>
      <c r="S20" s="60"/>
      <c r="T20" s="69" t="s">
        <v>7</v>
      </c>
      <c r="U20" s="42" t="str">
        <f t="shared" si="6"/>
        <v xml:space="preserve"> </v>
      </c>
      <c r="V20" s="42" t="str">
        <f t="shared" si="7"/>
        <v/>
      </c>
      <c r="W20" s="34"/>
      <c r="X20" s="34"/>
      <c r="Y20" s="43" t="str">
        <f t="shared" si="3"/>
        <v/>
      </c>
      <c r="Z20" s="44" t="str">
        <f t="shared" si="8"/>
        <v/>
      </c>
      <c r="AA20" s="34"/>
      <c r="AB20" s="45">
        <v>11</v>
      </c>
      <c r="AC20" s="46" t="s">
        <v>67</v>
      </c>
      <c r="AD20" s="63" t="s">
        <v>67</v>
      </c>
      <c r="AE20" s="61" t="s">
        <v>67</v>
      </c>
      <c r="AK20" s="27" t="e">
        <f>VLOOKUP($B20,'Finish Times'!$A$10:$G$40,6,FALSE)</f>
        <v>#N/A</v>
      </c>
    </row>
    <row r="21" spans="1:39" s="8" customFormat="1" ht="30" customHeight="1" x14ac:dyDescent="0.35">
      <c r="A21" s="65"/>
      <c r="B21" s="65"/>
      <c r="C21" s="65"/>
      <c r="D21" s="65"/>
      <c r="E21" s="67"/>
      <c r="F21" s="66"/>
      <c r="G21" s="66"/>
      <c r="H21" s="11"/>
      <c r="I21" s="14"/>
      <c r="J21" s="14"/>
      <c r="K21" s="27"/>
      <c r="L21" s="11"/>
      <c r="M21" s="12"/>
      <c r="N21" s="12" t="str">
        <f t="shared" si="0"/>
        <v xml:space="preserve"> </v>
      </c>
      <c r="O21" s="11" t="str">
        <f t="shared" si="0"/>
        <v/>
      </c>
      <c r="P21" s="29" t="str">
        <f t="shared" si="1"/>
        <v/>
      </c>
      <c r="Q21" s="62" t="s">
        <v>67</v>
      </c>
      <c r="R21" s="30" t="str">
        <f t="shared" si="2"/>
        <v/>
      </c>
      <c r="S21" s="60"/>
      <c r="T21" s="69" t="s">
        <v>6</v>
      </c>
      <c r="U21" s="42" t="str">
        <f t="shared" si="6"/>
        <v xml:space="preserve"> </v>
      </c>
      <c r="V21" s="42" t="str">
        <f t="shared" si="7"/>
        <v/>
      </c>
      <c r="W21" s="34"/>
      <c r="X21" s="34"/>
      <c r="Y21" s="43" t="str">
        <f t="shared" si="3"/>
        <v/>
      </c>
      <c r="Z21" s="44" t="str">
        <f t="shared" si="8"/>
        <v/>
      </c>
      <c r="AA21" s="34"/>
      <c r="AB21" s="45">
        <v>12</v>
      </c>
      <c r="AC21" s="46" t="s">
        <v>67</v>
      </c>
      <c r="AD21" s="63" t="s">
        <v>67</v>
      </c>
      <c r="AE21" s="61" t="s">
        <v>67</v>
      </c>
      <c r="AK21" s="27" t="e">
        <f>VLOOKUP($B21,'Finish Times'!$A$10:$G$40,6,FALSE)</f>
        <v>#N/A</v>
      </c>
    </row>
    <row r="22" spans="1:39" s="8" customFormat="1" ht="30" customHeight="1" x14ac:dyDescent="0.35">
      <c r="A22" s="65"/>
      <c r="B22" s="65"/>
      <c r="C22" s="65"/>
      <c r="D22" s="65"/>
      <c r="E22" s="67"/>
      <c r="F22" s="66"/>
      <c r="G22" s="66"/>
      <c r="H22" s="11"/>
      <c r="I22" s="14"/>
      <c r="J22" s="14"/>
      <c r="K22" s="27"/>
      <c r="L22" s="11"/>
      <c r="M22" s="12"/>
      <c r="N22" s="12" t="str">
        <f t="shared" si="0"/>
        <v xml:space="preserve"> </v>
      </c>
      <c r="O22" s="11" t="str">
        <f t="shared" si="0"/>
        <v/>
      </c>
      <c r="P22" s="29" t="str">
        <f t="shared" si="1"/>
        <v/>
      </c>
      <c r="Q22" s="62" t="s">
        <v>67</v>
      </c>
      <c r="R22" s="30" t="str">
        <f t="shared" si="2"/>
        <v/>
      </c>
      <c r="S22" s="60"/>
      <c r="T22" s="69" t="s">
        <v>6</v>
      </c>
      <c r="U22" s="42" t="str">
        <f t="shared" si="6"/>
        <v xml:space="preserve"> </v>
      </c>
      <c r="V22" s="42" t="str">
        <f t="shared" si="7"/>
        <v/>
      </c>
      <c r="W22" s="34"/>
      <c r="X22" s="34"/>
      <c r="Y22" s="43" t="str">
        <f t="shared" si="3"/>
        <v/>
      </c>
      <c r="Z22" s="44" t="str">
        <f t="shared" si="8"/>
        <v/>
      </c>
      <c r="AA22" s="34"/>
      <c r="AB22" s="45">
        <v>13</v>
      </c>
      <c r="AC22" s="46" t="s">
        <v>67</v>
      </c>
      <c r="AD22" s="63" t="s">
        <v>67</v>
      </c>
      <c r="AE22" s="61" t="s">
        <v>67</v>
      </c>
      <c r="AK22" s="27" t="e">
        <f>VLOOKUP($B22,'Finish Times'!$A$10:$G$40,6,FALSE)</f>
        <v>#N/A</v>
      </c>
    </row>
    <row r="23" spans="1:39" s="8" customFormat="1" ht="30" customHeight="1" x14ac:dyDescent="0.35">
      <c r="A23" s="65"/>
      <c r="B23" s="65"/>
      <c r="C23" s="65"/>
      <c r="D23" s="65"/>
      <c r="E23" s="67"/>
      <c r="F23" s="66"/>
      <c r="G23" s="66"/>
      <c r="H23" s="11"/>
      <c r="I23" s="14"/>
      <c r="J23" s="14"/>
      <c r="K23" s="27"/>
      <c r="L23" s="11"/>
      <c r="M23" s="12"/>
      <c r="N23" s="12" t="str">
        <f t="shared" si="0"/>
        <v xml:space="preserve"> </v>
      </c>
      <c r="O23" s="11" t="str">
        <f t="shared" si="0"/>
        <v/>
      </c>
      <c r="P23" s="29" t="str">
        <f t="shared" si="1"/>
        <v/>
      </c>
      <c r="Q23" s="62" t="s">
        <v>67</v>
      </c>
      <c r="R23" s="30" t="str">
        <f t="shared" si="2"/>
        <v/>
      </c>
      <c r="S23" s="60"/>
      <c r="T23" s="69" t="s">
        <v>6</v>
      </c>
      <c r="U23" s="42" t="str">
        <f t="shared" si="6"/>
        <v xml:space="preserve"> </v>
      </c>
      <c r="V23" s="42" t="str">
        <f t="shared" si="7"/>
        <v/>
      </c>
      <c r="W23" s="34"/>
      <c r="X23" s="34"/>
      <c r="Y23" s="43" t="str">
        <f t="shared" si="3"/>
        <v/>
      </c>
      <c r="Z23" s="44" t="str">
        <f t="shared" si="8"/>
        <v/>
      </c>
      <c r="AA23" s="34"/>
      <c r="AB23" s="45">
        <v>14</v>
      </c>
      <c r="AC23" s="46" t="s">
        <v>67</v>
      </c>
      <c r="AD23" s="63" t="s">
        <v>67</v>
      </c>
      <c r="AE23" s="61" t="s">
        <v>67</v>
      </c>
      <c r="AK23" s="27" t="e">
        <f>VLOOKUP($B23,'Finish Times'!$A$10:$G$40,6,FALSE)</f>
        <v>#N/A</v>
      </c>
    </row>
    <row r="24" spans="1:39" s="8" customFormat="1" ht="30" customHeight="1" x14ac:dyDescent="0.35">
      <c r="A24" s="65"/>
      <c r="B24" s="65"/>
      <c r="C24" s="65"/>
      <c r="D24" s="65"/>
      <c r="E24" s="67"/>
      <c r="F24" s="66"/>
      <c r="G24" s="66"/>
      <c r="H24" s="11"/>
      <c r="I24" s="14"/>
      <c r="J24" s="14"/>
      <c r="K24" s="27"/>
      <c r="L24" s="11"/>
      <c r="M24" s="12"/>
      <c r="N24" s="12" t="str">
        <f t="shared" si="0"/>
        <v xml:space="preserve"> </v>
      </c>
      <c r="O24" s="11" t="str">
        <f t="shared" si="0"/>
        <v/>
      </c>
      <c r="P24" s="29" t="str">
        <f t="shared" si="1"/>
        <v/>
      </c>
      <c r="Q24" s="62" t="s">
        <v>67</v>
      </c>
      <c r="R24" s="30" t="str">
        <f t="shared" si="2"/>
        <v/>
      </c>
      <c r="S24" s="60"/>
      <c r="T24" s="69" t="s">
        <v>6</v>
      </c>
      <c r="U24" s="42" t="str">
        <f t="shared" si="6"/>
        <v xml:space="preserve"> </v>
      </c>
      <c r="V24" s="42" t="str">
        <f t="shared" si="7"/>
        <v/>
      </c>
      <c r="W24" s="34"/>
      <c r="X24" s="34"/>
      <c r="Y24" s="43" t="str">
        <f t="shared" si="3"/>
        <v/>
      </c>
      <c r="Z24" s="44" t="str">
        <f t="shared" si="8"/>
        <v/>
      </c>
      <c r="AA24" s="34"/>
      <c r="AB24" s="45">
        <v>15</v>
      </c>
      <c r="AC24" s="46" t="s">
        <v>67</v>
      </c>
      <c r="AD24" s="63" t="s">
        <v>67</v>
      </c>
      <c r="AE24" s="61" t="s">
        <v>67</v>
      </c>
      <c r="AK24" s="27" t="e">
        <f>VLOOKUP($B24,'Finish Times'!$A$10:$G$40,6,FALSE)</f>
        <v>#N/A</v>
      </c>
    </row>
    <row r="25" spans="1:39" s="8" customFormat="1" ht="31.2" x14ac:dyDescent="0.6">
      <c r="A25" s="10" t="s">
        <v>5</v>
      </c>
      <c r="B25" s="10"/>
      <c r="C25" s="10"/>
      <c r="D25" s="10"/>
      <c r="E25" s="10"/>
      <c r="F25" s="10"/>
      <c r="G25" s="10"/>
      <c r="H25" s="10"/>
      <c r="I25" s="10"/>
      <c r="J25" s="10"/>
      <c r="K25" s="6"/>
      <c r="L25" s="5"/>
      <c r="M25" s="7"/>
      <c r="N25" s="9" t="s">
        <v>1</v>
      </c>
      <c r="Q25" s="62" t="s">
        <v>67</v>
      </c>
      <c r="AE25" s="61" t="s">
        <v>67</v>
      </c>
    </row>
    <row r="26" spans="1:39" ht="18" x14ac:dyDescent="0.35">
      <c r="A26" s="6" t="s">
        <v>4</v>
      </c>
      <c r="B26" s="6"/>
      <c r="C26" s="6"/>
      <c r="D26" s="6"/>
      <c r="E26" s="6"/>
      <c r="F26" s="6"/>
      <c r="G26" s="6"/>
      <c r="H26" s="6"/>
      <c r="I26" s="6"/>
      <c r="J26" s="6"/>
      <c r="K26" s="6"/>
      <c r="L26" s="5"/>
      <c r="M26" s="7"/>
      <c r="N26" s="7"/>
      <c r="O26" s="5"/>
      <c r="Q26" s="62">
        <v>0</v>
      </c>
      <c r="Y26" s="20"/>
      <c r="AE26" s="61">
        <v>0</v>
      </c>
    </row>
    <row r="27" spans="1:39" ht="18" x14ac:dyDescent="0.35">
      <c r="A27" s="6" t="s">
        <v>3</v>
      </c>
      <c r="B27" s="6"/>
      <c r="C27" s="6"/>
      <c r="D27" s="6"/>
      <c r="E27" s="6"/>
      <c r="F27" s="6"/>
      <c r="G27" s="6"/>
      <c r="H27" s="6"/>
      <c r="I27" s="6"/>
      <c r="J27" s="6"/>
      <c r="K27" s="6"/>
      <c r="L27" s="5"/>
      <c r="M27" s="5"/>
      <c r="N27" s="5"/>
      <c r="O27" s="5"/>
      <c r="Q27" s="62">
        <v>0</v>
      </c>
      <c r="AE27" s="61">
        <v>0</v>
      </c>
    </row>
    <row r="28" spans="1:39" ht="18" x14ac:dyDescent="0.35">
      <c r="A28" s="6" t="s">
        <v>2</v>
      </c>
      <c r="B28" s="6"/>
      <c r="C28" s="6"/>
      <c r="D28" s="6"/>
      <c r="E28" s="6"/>
      <c r="F28" s="6"/>
      <c r="G28" s="6"/>
      <c r="H28" s="6"/>
      <c r="I28" s="6"/>
      <c r="J28" s="6"/>
      <c r="K28" s="6"/>
      <c r="L28" s="5"/>
      <c r="M28" s="5"/>
      <c r="N28" s="5"/>
      <c r="O28" s="5"/>
      <c r="Q28" s="62">
        <v>0</v>
      </c>
      <c r="AE28" s="61">
        <v>0</v>
      </c>
    </row>
    <row r="30" spans="1:39" ht="30" customHeight="1" x14ac:dyDescent="1.1000000000000001">
      <c r="A30" s="4" t="s">
        <v>1</v>
      </c>
      <c r="B30" s="4"/>
      <c r="C30" s="4"/>
      <c r="D30" s="4"/>
      <c r="E30" s="4"/>
      <c r="F30" s="4"/>
      <c r="G30" s="4"/>
      <c r="H30" s="4"/>
      <c r="I30" s="4"/>
      <c r="J30" s="4"/>
      <c r="K30" s="4"/>
      <c r="L30" s="2"/>
      <c r="M30" s="4" t="s">
        <v>0</v>
      </c>
      <c r="N30" s="3"/>
      <c r="O30" s="2"/>
    </row>
  </sheetData>
  <sortState ref="AB10:AE28">
    <sortCondition ref="AB10:AB28"/>
  </sortState>
  <mergeCells count="7">
    <mergeCell ref="A5:O5"/>
    <mergeCell ref="A6:O6"/>
    <mergeCell ref="A7:O7"/>
    <mergeCell ref="T7:V7"/>
    <mergeCell ref="G8:H8"/>
    <mergeCell ref="I8:J8"/>
    <mergeCell ref="K8:L8"/>
  </mergeCells>
  <printOptions horizontalCentered="1" verticalCentered="1"/>
  <pageMargins left="0.2" right="0.2" top="0.75" bottom="0.5" header="0.3" footer="0.05"/>
  <pageSetup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M30"/>
  <sheetViews>
    <sheetView workbookViewId="0">
      <selection activeCell="A7" sqref="A7:O7"/>
    </sheetView>
  </sheetViews>
  <sheetFormatPr defaultRowHeight="14.4" x14ac:dyDescent="0.3"/>
  <cols>
    <col min="1" max="1" width="15.6640625" customWidth="1"/>
    <col min="2" max="2" width="16.5546875" customWidth="1"/>
    <col min="3" max="3" width="9.33203125" customWidth="1"/>
    <col min="4" max="4" width="9.6640625" customWidth="1"/>
    <col min="5" max="5" width="18.44140625" customWidth="1"/>
    <col min="6" max="7" width="8.6640625" customWidth="1"/>
    <col min="8" max="8" width="10.6640625" customWidth="1"/>
    <col min="9" max="9" width="9.109375" bestFit="1" customWidth="1"/>
    <col min="10" max="10" width="10.6640625" customWidth="1"/>
    <col min="11" max="12" width="8.6640625" customWidth="1"/>
    <col min="13" max="13" width="9" customWidth="1"/>
    <col min="14" max="14" width="9.44140625" customWidth="1"/>
    <col min="15" max="15" width="8.6640625" style="1" customWidth="1"/>
    <col min="25" max="26" width="16" bestFit="1" customWidth="1"/>
    <col min="27" max="27" width="9.5546875" bestFit="1" customWidth="1"/>
    <col min="32" max="32" width="10.5546875" bestFit="1" customWidth="1"/>
  </cols>
  <sheetData>
    <row r="1" spans="1:39" x14ac:dyDescent="0.3">
      <c r="A1" s="47"/>
      <c r="B1" s="47"/>
      <c r="C1" s="47"/>
      <c r="D1" s="47"/>
      <c r="E1" s="47"/>
      <c r="F1" s="47"/>
      <c r="G1" s="47"/>
      <c r="H1" s="47"/>
      <c r="I1" s="47"/>
      <c r="J1" s="47"/>
      <c r="K1" s="47"/>
      <c r="L1" s="47"/>
      <c r="M1" s="47"/>
      <c r="N1" s="47"/>
      <c r="O1" s="50"/>
      <c r="P1" s="47"/>
      <c r="Q1" s="47"/>
      <c r="R1" s="47"/>
      <c r="S1" s="56"/>
      <c r="T1" s="31"/>
      <c r="U1" s="32"/>
      <c r="V1" s="32"/>
      <c r="W1" s="32"/>
      <c r="X1" s="32"/>
      <c r="Y1" s="34" t="s">
        <v>43</v>
      </c>
      <c r="Z1" s="32"/>
      <c r="AA1" s="32"/>
      <c r="AB1" s="32"/>
      <c r="AC1" s="32"/>
      <c r="AD1" s="32"/>
      <c r="AE1" s="52"/>
    </row>
    <row r="2" spans="1:39" x14ac:dyDescent="0.3">
      <c r="A2" s="47"/>
      <c r="B2" s="47"/>
      <c r="C2" s="47"/>
      <c r="D2" s="47"/>
      <c r="E2" s="47"/>
      <c r="F2" s="47"/>
      <c r="G2" s="47"/>
      <c r="H2" s="47"/>
      <c r="I2" s="47"/>
      <c r="J2" s="47"/>
      <c r="K2" s="47"/>
      <c r="L2" s="47"/>
      <c r="M2" s="47"/>
      <c r="N2" s="47"/>
      <c r="O2" s="50"/>
      <c r="P2" s="47"/>
      <c r="Q2" s="47"/>
      <c r="R2" s="47"/>
      <c r="S2" s="56"/>
      <c r="T2" s="31"/>
      <c r="U2" s="32"/>
      <c r="V2" s="32"/>
      <c r="W2" s="32"/>
      <c r="X2" s="32"/>
      <c r="Y2" s="41">
        <f>MIN(N10:N24)</f>
        <v>39.248251748251747</v>
      </c>
      <c r="Z2" s="32"/>
      <c r="AA2" s="32"/>
      <c r="AB2" s="32"/>
      <c r="AC2" s="32"/>
      <c r="AD2" s="32"/>
      <c r="AE2" s="52"/>
    </row>
    <row r="3" spans="1:39" ht="18" x14ac:dyDescent="0.35">
      <c r="A3" s="18">
        <v>5</v>
      </c>
      <c r="B3" s="51" t="s">
        <v>52</v>
      </c>
      <c r="C3" s="47"/>
      <c r="D3" s="47"/>
      <c r="E3" s="47"/>
      <c r="F3" s="47"/>
      <c r="G3" s="47"/>
      <c r="H3" s="47"/>
      <c r="I3" s="47"/>
      <c r="J3" s="47"/>
      <c r="K3" s="47"/>
      <c r="L3" s="47"/>
      <c r="M3" s="47"/>
      <c r="N3" s="47"/>
      <c r="O3" s="50"/>
      <c r="P3" s="47"/>
      <c r="Q3" s="47"/>
      <c r="R3" s="47"/>
      <c r="S3" s="56"/>
      <c r="T3" s="31"/>
      <c r="U3" s="32"/>
      <c r="V3" s="32"/>
      <c r="W3" s="32"/>
      <c r="X3" s="32"/>
      <c r="Y3" s="32"/>
      <c r="Z3" s="32"/>
      <c r="AA3" s="32"/>
      <c r="AB3" s="32"/>
      <c r="AC3" s="32"/>
      <c r="AD3" s="32"/>
      <c r="AE3" s="52"/>
    </row>
    <row r="4" spans="1:39" x14ac:dyDescent="0.3">
      <c r="A4" s="47"/>
      <c r="B4" s="47"/>
      <c r="C4" s="47"/>
      <c r="D4" s="47"/>
      <c r="E4" s="47"/>
      <c r="F4" s="47"/>
      <c r="G4" s="47"/>
      <c r="H4" s="47"/>
      <c r="I4" s="47"/>
      <c r="J4" s="47"/>
      <c r="K4" s="47"/>
      <c r="L4" s="47"/>
      <c r="M4" s="47"/>
      <c r="N4" s="47"/>
      <c r="O4" s="50"/>
      <c r="P4" s="47"/>
      <c r="Q4" s="47"/>
      <c r="R4" s="47"/>
      <c r="S4" s="56"/>
      <c r="T4" s="31"/>
      <c r="U4" s="32"/>
      <c r="V4" s="32"/>
      <c r="W4" s="32"/>
      <c r="X4" s="32"/>
      <c r="Y4" s="32"/>
      <c r="Z4" s="32"/>
      <c r="AA4" s="32"/>
      <c r="AB4" s="32"/>
      <c r="AC4" s="32"/>
      <c r="AD4" s="32"/>
      <c r="AE4" s="52"/>
    </row>
    <row r="5" spans="1:39" ht="31.2" x14ac:dyDescent="0.6">
      <c r="A5" s="94" t="s">
        <v>127</v>
      </c>
      <c r="B5" s="94"/>
      <c r="C5" s="94"/>
      <c r="D5" s="94"/>
      <c r="E5" s="94"/>
      <c r="F5" s="94"/>
      <c r="G5" s="94"/>
      <c r="H5" s="94"/>
      <c r="I5" s="94"/>
      <c r="J5" s="94"/>
      <c r="K5" s="94"/>
      <c r="L5" s="94"/>
      <c r="M5" s="94"/>
      <c r="N5" s="94"/>
      <c r="O5" s="94"/>
      <c r="P5" s="47"/>
      <c r="Q5" s="47"/>
      <c r="R5" s="47"/>
      <c r="S5" s="56"/>
      <c r="T5" s="33"/>
      <c r="U5" s="32"/>
      <c r="V5" s="32"/>
      <c r="W5" s="32"/>
      <c r="X5" s="32"/>
      <c r="Y5" s="32"/>
      <c r="Z5" s="32" t="s">
        <v>59</v>
      </c>
      <c r="AA5" s="32"/>
      <c r="AB5" s="32"/>
      <c r="AC5" s="32"/>
      <c r="AD5" s="32"/>
      <c r="AE5" s="52"/>
    </row>
    <row r="6" spans="1:39" s="8" customFormat="1" ht="18.600000000000001" thickBot="1" x14ac:dyDescent="0.4">
      <c r="A6" s="95" t="s">
        <v>167</v>
      </c>
      <c r="B6" s="95"/>
      <c r="C6" s="95"/>
      <c r="D6" s="95"/>
      <c r="E6" s="95"/>
      <c r="F6" s="95"/>
      <c r="G6" s="95"/>
      <c r="H6" s="95"/>
      <c r="I6" s="95"/>
      <c r="J6" s="95"/>
      <c r="K6" s="95"/>
      <c r="L6" s="95"/>
      <c r="M6" s="95"/>
      <c r="N6" s="95"/>
      <c r="O6" s="95"/>
      <c r="P6" s="48"/>
      <c r="Q6" s="48"/>
      <c r="R6" s="48"/>
      <c r="S6" s="57"/>
      <c r="T6" s="33"/>
      <c r="U6" s="34"/>
      <c r="V6" s="34"/>
      <c r="W6" s="34"/>
      <c r="X6" s="34"/>
      <c r="Y6" s="35" t="s">
        <v>58</v>
      </c>
      <c r="Z6" s="34" t="s">
        <v>60</v>
      </c>
      <c r="AA6" s="36"/>
      <c r="AB6" s="34"/>
      <c r="AC6" s="34"/>
      <c r="AD6" s="34"/>
      <c r="AE6" s="53"/>
    </row>
    <row r="7" spans="1:39" ht="18" customHeight="1" thickTop="1" x14ac:dyDescent="0.3">
      <c r="A7" s="96"/>
      <c r="B7" s="96"/>
      <c r="C7" s="96"/>
      <c r="D7" s="96"/>
      <c r="E7" s="96"/>
      <c r="F7" s="96"/>
      <c r="G7" s="96"/>
      <c r="H7" s="96"/>
      <c r="I7" s="96"/>
      <c r="J7" s="96"/>
      <c r="K7" s="96"/>
      <c r="L7" s="96"/>
      <c r="M7" s="96"/>
      <c r="N7" s="96"/>
      <c r="O7" s="96"/>
      <c r="P7" s="23" t="s">
        <v>31</v>
      </c>
      <c r="Q7" s="23" t="s">
        <v>31</v>
      </c>
      <c r="R7" s="49" t="s">
        <v>55</v>
      </c>
      <c r="S7" s="58"/>
      <c r="T7" s="97" t="s">
        <v>50</v>
      </c>
      <c r="U7" s="98"/>
      <c r="V7" s="99"/>
      <c r="W7" s="32"/>
      <c r="X7" s="32"/>
      <c r="Y7" s="36" t="s">
        <v>56</v>
      </c>
      <c r="Z7" s="36" t="s">
        <v>56</v>
      </c>
      <c r="AA7" s="36"/>
      <c r="AB7" s="32"/>
      <c r="AC7" s="54" t="s">
        <v>72</v>
      </c>
      <c r="AD7" s="32"/>
      <c r="AE7" s="52"/>
    </row>
    <row r="8" spans="1:39" s="8" customFormat="1" ht="18" x14ac:dyDescent="0.35">
      <c r="A8" s="17"/>
      <c r="B8" s="17"/>
      <c r="C8" s="16"/>
      <c r="D8" s="16"/>
      <c r="E8" s="16"/>
      <c r="F8" s="16"/>
      <c r="G8" s="100" t="s">
        <v>49</v>
      </c>
      <c r="H8" s="100"/>
      <c r="I8" s="100" t="s">
        <v>48</v>
      </c>
      <c r="J8" s="100"/>
      <c r="K8" s="100" t="s">
        <v>47</v>
      </c>
      <c r="L8" s="100"/>
      <c r="M8" s="55" t="s">
        <v>46</v>
      </c>
      <c r="N8" s="55" t="s">
        <v>45</v>
      </c>
      <c r="O8" s="19"/>
      <c r="P8" s="24" t="s">
        <v>29</v>
      </c>
      <c r="Q8" s="24" t="s">
        <v>29</v>
      </c>
      <c r="R8" s="22" t="s">
        <v>53</v>
      </c>
      <c r="S8" s="59"/>
      <c r="T8" s="37" t="s">
        <v>44</v>
      </c>
      <c r="U8" s="35"/>
      <c r="V8" s="38"/>
      <c r="W8" s="32"/>
      <c r="X8" s="34"/>
      <c r="Y8" s="39" t="s">
        <v>57</v>
      </c>
      <c r="Z8" s="35"/>
      <c r="AA8" s="35"/>
      <c r="AB8" s="35"/>
      <c r="AC8" s="35">
        <f>MAX(AC10:AC24)</f>
        <v>3</v>
      </c>
      <c r="AD8" s="35"/>
      <c r="AE8" s="53"/>
    </row>
    <row r="9" spans="1:39" s="8" customFormat="1" ht="18.600000000000001" thickBot="1" x14ac:dyDescent="0.4">
      <c r="A9" s="15" t="s">
        <v>42</v>
      </c>
      <c r="B9" s="15" t="s">
        <v>41</v>
      </c>
      <c r="C9" s="55" t="s">
        <v>40</v>
      </c>
      <c r="D9" s="55" t="s">
        <v>39</v>
      </c>
      <c r="E9" s="55" t="s">
        <v>38</v>
      </c>
      <c r="F9" s="55" t="s">
        <v>37</v>
      </c>
      <c r="G9" s="55" t="s">
        <v>36</v>
      </c>
      <c r="H9" s="55" t="s">
        <v>35</v>
      </c>
      <c r="I9" s="55" t="s">
        <v>36</v>
      </c>
      <c r="J9" s="55" t="s">
        <v>35</v>
      </c>
      <c r="K9" s="55" t="s">
        <v>34</v>
      </c>
      <c r="L9" s="55" t="s">
        <v>33</v>
      </c>
      <c r="M9" s="55" t="s">
        <v>32</v>
      </c>
      <c r="N9" s="55" t="s">
        <v>31</v>
      </c>
      <c r="O9" s="19" t="s">
        <v>30</v>
      </c>
      <c r="P9" s="25" t="s">
        <v>43</v>
      </c>
      <c r="Q9" s="26" t="s">
        <v>66</v>
      </c>
      <c r="R9" s="22" t="s">
        <v>54</v>
      </c>
      <c r="S9" s="59"/>
      <c r="T9" s="40" t="s">
        <v>28</v>
      </c>
      <c r="U9" s="35"/>
      <c r="V9" s="38"/>
      <c r="W9" s="32"/>
      <c r="X9" s="34"/>
      <c r="Y9" s="35"/>
      <c r="Z9" s="35"/>
      <c r="AA9" s="35"/>
      <c r="AB9" s="32"/>
      <c r="AC9" s="32"/>
      <c r="AD9" s="32"/>
      <c r="AE9" s="52"/>
      <c r="AF9"/>
      <c r="AG9"/>
      <c r="AH9"/>
      <c r="AI9"/>
      <c r="AJ9"/>
      <c r="AK9"/>
      <c r="AL9"/>
      <c r="AM9"/>
    </row>
    <row r="10" spans="1:39" s="8" customFormat="1" ht="30" customHeight="1" thickTop="1" x14ac:dyDescent="0.35">
      <c r="A10" s="65" t="s">
        <v>84</v>
      </c>
      <c r="B10" s="65" t="s">
        <v>85</v>
      </c>
      <c r="C10" s="65"/>
      <c r="D10" s="65"/>
      <c r="E10" s="67" t="s">
        <v>86</v>
      </c>
      <c r="F10" s="66">
        <v>1309</v>
      </c>
      <c r="G10" s="90">
        <v>244</v>
      </c>
      <c r="H10" s="11">
        <f>IFERROR(G10+15,"")</f>
        <v>259</v>
      </c>
      <c r="I10" s="14">
        <f>IF(T10 = "s",1000/(900+G10),"")</f>
        <v>0.87412587412587417</v>
      </c>
      <c r="J10" s="14" t="str">
        <f>IF(T10 ="n",1000/(900+H10),"")</f>
        <v/>
      </c>
      <c r="K10" s="27">
        <f>IF(AK10&gt;0,VLOOKUP($B10,'Finish Times'!$A$10:$G$40,6,FALSE)," ")</f>
        <v>49</v>
      </c>
      <c r="L10" s="11">
        <f>IF(AK10&gt;0,VLOOKUP($B10,'Finish Times'!$A$10:$G$40,7,FALSE)," ")</f>
        <v>54</v>
      </c>
      <c r="M10" s="12">
        <f>IF(AK10&gt;0,(K10+L10/60)-A$3," ")</f>
        <v>44.9</v>
      </c>
      <c r="N10" s="12">
        <f t="shared" ref="N10:O24" si="0">IFERROR(U10," ")</f>
        <v>39.248251748251747</v>
      </c>
      <c r="O10" s="11">
        <f t="shared" si="0"/>
        <v>1</v>
      </c>
      <c r="P10" s="28">
        <f t="shared" ref="P10:P24" si="1">IFERROR(N10-$Y$2,"")</f>
        <v>0</v>
      </c>
      <c r="Q10" s="62"/>
      <c r="R10" s="30">
        <f t="shared" ref="R10:R24" si="2">IFERROR(ROUND((1000/Y10)-900,0),"")</f>
        <v>244</v>
      </c>
      <c r="S10" s="60"/>
      <c r="T10" s="69" t="s">
        <v>7</v>
      </c>
      <c r="U10" s="42">
        <f>IFERROR(IF(M10&gt;0,IF(T10="s",M10*I10,0)+IF(T10="n",M10*J10,0)," "),"")</f>
        <v>39.248251748251747</v>
      </c>
      <c r="V10" s="42">
        <f>IFERROR(RANK(N10,$N$10:$N$24,1),"")</f>
        <v>1</v>
      </c>
      <c r="W10" s="34"/>
      <c r="X10" s="34"/>
      <c r="Y10" s="43">
        <f t="shared" ref="Y10:Y24" si="3">IFERROR($Y$2/M10,"")</f>
        <v>0.87412587412587417</v>
      </c>
      <c r="Z10" s="44">
        <f>IFERROR(M10*Y10,"")</f>
        <v>39.248251748251747</v>
      </c>
      <c r="AA10" s="34"/>
      <c r="AB10" s="45">
        <v>1</v>
      </c>
      <c r="AC10" s="45">
        <v>1</v>
      </c>
      <c r="AD10" s="61">
        <v>0</v>
      </c>
      <c r="AE10" s="61"/>
      <c r="AF10"/>
      <c r="AG10"/>
      <c r="AH10" s="27">
        <v>55</v>
      </c>
      <c r="AI10" s="11">
        <v>39</v>
      </c>
      <c r="AJ10"/>
      <c r="AK10" s="27">
        <f>VLOOKUP($B10,'Finish Times'!$A$10:$G$40,6,FALSE)</f>
        <v>49</v>
      </c>
      <c r="AL10"/>
      <c r="AM10"/>
    </row>
    <row r="11" spans="1:39" s="8" customFormat="1" ht="30" customHeight="1" x14ac:dyDescent="0.35">
      <c r="A11" s="65" t="s">
        <v>87</v>
      </c>
      <c r="B11" s="65" t="s">
        <v>88</v>
      </c>
      <c r="C11" s="65"/>
      <c r="D11" s="65"/>
      <c r="E11" s="67" t="s">
        <v>89</v>
      </c>
      <c r="F11" s="66">
        <v>470</v>
      </c>
      <c r="G11" s="66">
        <v>240</v>
      </c>
      <c r="H11" s="11">
        <f t="shared" ref="H11:H15" si="4">IFERROR(G11+15,"")</f>
        <v>255</v>
      </c>
      <c r="I11" s="14" t="str">
        <f>IF(T11 = "s",1000/(900+G11),"")</f>
        <v/>
      </c>
      <c r="J11" s="14">
        <f>IF(T11 ="n",1000/(900+H11),"")</f>
        <v>0.86580086580086579</v>
      </c>
      <c r="K11" s="27">
        <f>IF(AK11&gt;0,VLOOKUP($B11,'Finish Times'!$A$10:$G$40,6,FALSE)," ")</f>
        <v>52</v>
      </c>
      <c r="L11" s="11">
        <f>IF(AK11&gt;0,VLOOKUP($B11,'Finish Times'!$A$10:$G$40,7,FALSE)," ")</f>
        <v>53</v>
      </c>
      <c r="M11" s="12">
        <f t="shared" ref="M11:M14" si="5">IF(AK11&gt;0,(K11+L11/60)-A$3," ")</f>
        <v>47.883333333333333</v>
      </c>
      <c r="N11" s="12">
        <f t="shared" si="0"/>
        <v>41.457431457431454</v>
      </c>
      <c r="O11" s="11">
        <f t="shared" si="0"/>
        <v>2</v>
      </c>
      <c r="P11" s="29">
        <f t="shared" si="1"/>
        <v>2.2091797091797076</v>
      </c>
      <c r="Q11" s="62">
        <v>2.2091797091797076</v>
      </c>
      <c r="R11" s="30">
        <f t="shared" si="2"/>
        <v>320</v>
      </c>
      <c r="S11" s="60"/>
      <c r="T11" s="69" t="s">
        <v>6</v>
      </c>
      <c r="U11" s="42">
        <f t="shared" ref="U11:U24" si="6">IFERROR(IF(M11&gt;0,IF(T11="s",M11*I11,0)+IF(T11="n",M11*J11,0)," "),"")</f>
        <v>41.457431457431454</v>
      </c>
      <c r="V11" s="42">
        <f t="shared" ref="V11:V24" si="7">IFERROR(RANK(N11,$N$10:$N$24,1),"")</f>
        <v>2</v>
      </c>
      <c r="W11" s="34"/>
      <c r="X11" s="34"/>
      <c r="Y11" s="43">
        <f t="shared" si="3"/>
        <v>0.81966415067702914</v>
      </c>
      <c r="Z11" s="44">
        <f t="shared" ref="Z11:Z24" si="8">IFERROR(M11*Y11,"")</f>
        <v>39.248251748251747</v>
      </c>
      <c r="AA11" s="34"/>
      <c r="AB11" s="45">
        <v>2</v>
      </c>
      <c r="AC11" s="45">
        <v>2</v>
      </c>
      <c r="AD11" s="61">
        <v>2.2091797091797076</v>
      </c>
      <c r="AE11" s="61">
        <v>2.2091797091797076</v>
      </c>
      <c r="AF11"/>
      <c r="AG11"/>
      <c r="AH11" s="27">
        <v>56</v>
      </c>
      <c r="AI11" s="11">
        <v>22</v>
      </c>
      <c r="AJ11"/>
      <c r="AK11" s="27">
        <f>VLOOKUP($B11,'Finish Times'!$A$10:$G$40,6,FALSE)</f>
        <v>52</v>
      </c>
      <c r="AL11"/>
      <c r="AM11"/>
    </row>
    <row r="12" spans="1:39" s="8" customFormat="1" ht="30" customHeight="1" x14ac:dyDescent="0.35">
      <c r="A12" s="65" t="s">
        <v>90</v>
      </c>
      <c r="B12" s="65" t="s">
        <v>154</v>
      </c>
      <c r="C12" s="65"/>
      <c r="D12" s="65"/>
      <c r="E12" s="67" t="s">
        <v>89</v>
      </c>
      <c r="F12" s="66">
        <v>269</v>
      </c>
      <c r="G12" s="90">
        <f>241+3</f>
        <v>244</v>
      </c>
      <c r="H12" s="11">
        <f t="shared" si="4"/>
        <v>259</v>
      </c>
      <c r="I12" s="14" t="str">
        <f>IF(T12 = "s",1000/(900+G12),"")</f>
        <v/>
      </c>
      <c r="J12" s="14">
        <f>IF(T12 ="n",1000/(900+H12),"")</f>
        <v>0.86281276962899056</v>
      </c>
      <c r="K12" s="27">
        <f>IF(AK12&gt;0,VLOOKUP($B12,'Finish Times'!$A$10:$G$40,6,FALSE)," ")</f>
        <v>57</v>
      </c>
      <c r="L12" s="11">
        <f>IF(AK12&gt;0,VLOOKUP($B12,'Finish Times'!$A$10:$G$40,7,FALSE)," ")</f>
        <v>21</v>
      </c>
      <c r="M12" s="12">
        <f t="shared" si="5"/>
        <v>52.35</v>
      </c>
      <c r="N12" s="12">
        <f t="shared" si="0"/>
        <v>45.168248490077659</v>
      </c>
      <c r="O12" s="11">
        <f t="shared" si="0"/>
        <v>3</v>
      </c>
      <c r="P12" s="29">
        <f t="shared" si="1"/>
        <v>5.9199967418259121</v>
      </c>
      <c r="Q12" s="62">
        <v>3.7108170326462044</v>
      </c>
      <c r="R12" s="30">
        <f t="shared" si="2"/>
        <v>434</v>
      </c>
      <c r="S12" s="60"/>
      <c r="T12" s="69" t="s">
        <v>6</v>
      </c>
      <c r="U12" s="42">
        <f t="shared" si="6"/>
        <v>45.168248490077659</v>
      </c>
      <c r="V12" s="42">
        <f t="shared" si="7"/>
        <v>3</v>
      </c>
      <c r="W12" s="34"/>
      <c r="X12" s="34"/>
      <c r="Y12" s="43">
        <f t="shared" si="3"/>
        <v>0.74972782709172392</v>
      </c>
      <c r="Z12" s="44">
        <f t="shared" si="8"/>
        <v>39.248251748251747</v>
      </c>
      <c r="AA12" s="34"/>
      <c r="AB12" s="45">
        <v>3</v>
      </c>
      <c r="AC12" s="45">
        <v>3</v>
      </c>
      <c r="AD12" s="61">
        <v>5.9199967418259121</v>
      </c>
      <c r="AE12" s="61">
        <v>3.7108170326462044</v>
      </c>
      <c r="AF12"/>
      <c r="AG12"/>
      <c r="AH12" s="27">
        <v>54</v>
      </c>
      <c r="AI12" s="11">
        <v>9</v>
      </c>
      <c r="AJ12"/>
      <c r="AK12" s="27">
        <f>VLOOKUP($B12,'Finish Times'!$A$10:$G$40,6,FALSE)</f>
        <v>57</v>
      </c>
      <c r="AL12"/>
      <c r="AM12"/>
    </row>
    <row r="13" spans="1:39" s="8" customFormat="1" ht="30" customHeight="1" x14ac:dyDescent="0.35">
      <c r="A13" s="65" t="s">
        <v>130</v>
      </c>
      <c r="B13" s="65" t="s">
        <v>159</v>
      </c>
      <c r="C13" s="65"/>
      <c r="D13" s="65"/>
      <c r="E13" s="67" t="s">
        <v>94</v>
      </c>
      <c r="F13" s="66">
        <v>1256</v>
      </c>
      <c r="G13" s="66">
        <v>242</v>
      </c>
      <c r="H13" s="11">
        <f t="shared" si="4"/>
        <v>257</v>
      </c>
      <c r="I13" s="14" t="str">
        <f>IF(T13 = "s",1000/(900+G13),"")</f>
        <v/>
      </c>
      <c r="J13" s="14">
        <f>IF(T13 ="n",1000/(900+H13),"")</f>
        <v>0.86430423509075194</v>
      </c>
      <c r="K13" s="27" t="str">
        <f>IF(AK13&gt;0,VLOOKUP($B13,'Finish Times'!$A$10:$G$40,6,FALSE)," ")</f>
        <v xml:space="preserve"> </v>
      </c>
      <c r="L13" s="11" t="str">
        <f>IF(AK13&gt;0,VLOOKUP($B13,'Finish Times'!$A$10:$G$40,7,FALSE)," ")</f>
        <v xml:space="preserve"> </v>
      </c>
      <c r="M13" s="12" t="str">
        <f t="shared" si="5"/>
        <v xml:space="preserve"> </v>
      </c>
      <c r="N13" s="12" t="str">
        <f t="shared" si="0"/>
        <v/>
      </c>
      <c r="O13" s="11" t="str">
        <f t="shared" si="0"/>
        <v/>
      </c>
      <c r="P13" s="29" t="str">
        <f t="shared" si="1"/>
        <v/>
      </c>
      <c r="Q13" s="62" t="s">
        <v>67</v>
      </c>
      <c r="R13" s="30" t="str">
        <f t="shared" si="2"/>
        <v/>
      </c>
      <c r="S13" s="60"/>
      <c r="T13" s="69" t="s">
        <v>6</v>
      </c>
      <c r="U13" s="42" t="str">
        <f t="shared" si="6"/>
        <v/>
      </c>
      <c r="V13" s="42" t="str">
        <f t="shared" si="7"/>
        <v/>
      </c>
      <c r="W13" s="34"/>
      <c r="X13" s="34"/>
      <c r="Y13" s="43" t="str">
        <f t="shared" si="3"/>
        <v/>
      </c>
      <c r="Z13" s="44" t="str">
        <f t="shared" si="8"/>
        <v/>
      </c>
      <c r="AA13" s="34"/>
      <c r="AB13" s="45">
        <v>4</v>
      </c>
      <c r="AC13" s="45" t="s">
        <v>67</v>
      </c>
      <c r="AD13" s="61" t="s">
        <v>67</v>
      </c>
      <c r="AE13" s="61" t="s">
        <v>67</v>
      </c>
      <c r="AF13"/>
      <c r="AG13"/>
      <c r="AH13" s="27">
        <v>62</v>
      </c>
      <c r="AI13" s="11">
        <v>59</v>
      </c>
      <c r="AJ13"/>
      <c r="AK13" s="27">
        <f>VLOOKUP($B13,'Finish Times'!$A$10:$G$40,6,FALSE)</f>
        <v>0</v>
      </c>
      <c r="AL13"/>
      <c r="AM13"/>
    </row>
    <row r="14" spans="1:39" s="8" customFormat="1" ht="30" customHeight="1" x14ac:dyDescent="0.35">
      <c r="A14" s="65" t="s">
        <v>10</v>
      </c>
      <c r="B14" s="65" t="s">
        <v>9</v>
      </c>
      <c r="C14" s="65"/>
      <c r="D14" s="65"/>
      <c r="E14" s="67" t="s">
        <v>8</v>
      </c>
      <c r="F14" s="66">
        <v>1687</v>
      </c>
      <c r="G14" s="66">
        <v>224</v>
      </c>
      <c r="H14" s="11">
        <f t="shared" si="4"/>
        <v>239</v>
      </c>
      <c r="I14" s="14">
        <f t="shared" ref="I14:I15" si="9">IF(T14 = "s",1000/(900+G14),"")</f>
        <v>0.88967971530249113</v>
      </c>
      <c r="J14" s="14" t="str">
        <f t="shared" ref="J14:J15" si="10">IF(T14 ="n",1000/(900+H14),"")</f>
        <v/>
      </c>
      <c r="K14" s="27" t="str">
        <f>IF(AK14&gt;0,VLOOKUP($B14,'Finish Times'!$A$10:$G$40,6,FALSE)," ")</f>
        <v xml:space="preserve"> </v>
      </c>
      <c r="L14" s="11" t="str">
        <f>IF(AK14&gt;0,VLOOKUP($B14,'Finish Times'!$A$10:$G$40,7,FALSE)," ")</f>
        <v xml:space="preserve"> </v>
      </c>
      <c r="M14" s="12" t="str">
        <f t="shared" si="5"/>
        <v xml:space="preserve"> </v>
      </c>
      <c r="N14" s="12" t="str">
        <f t="shared" si="0"/>
        <v/>
      </c>
      <c r="O14" s="11" t="str">
        <f t="shared" si="0"/>
        <v/>
      </c>
      <c r="P14" s="29" t="str">
        <f t="shared" si="1"/>
        <v/>
      </c>
      <c r="Q14" s="62" t="s">
        <v>67</v>
      </c>
      <c r="R14" s="30" t="str">
        <f t="shared" si="2"/>
        <v/>
      </c>
      <c r="S14" s="60"/>
      <c r="T14" s="69" t="s">
        <v>7</v>
      </c>
      <c r="U14" s="42" t="str">
        <f t="shared" si="6"/>
        <v/>
      </c>
      <c r="V14" s="42" t="str">
        <f t="shared" si="7"/>
        <v/>
      </c>
      <c r="W14" s="34"/>
      <c r="X14" s="34"/>
      <c r="Y14" s="43" t="str">
        <f t="shared" si="3"/>
        <v/>
      </c>
      <c r="Z14" s="44" t="str">
        <f t="shared" si="8"/>
        <v/>
      </c>
      <c r="AA14" s="34"/>
      <c r="AB14" s="45">
        <v>5</v>
      </c>
      <c r="AC14" s="45" t="s">
        <v>67</v>
      </c>
      <c r="AD14" s="61" t="s">
        <v>67</v>
      </c>
      <c r="AE14" s="61" t="s">
        <v>67</v>
      </c>
      <c r="AF14"/>
      <c r="AG14"/>
      <c r="AH14" s="27">
        <v>59</v>
      </c>
      <c r="AI14" s="11">
        <v>12</v>
      </c>
      <c r="AJ14"/>
      <c r="AK14" s="27">
        <f>VLOOKUP($B14,'Finish Times'!$A$10:$G$40,6,FALSE)</f>
        <v>0</v>
      </c>
      <c r="AL14"/>
      <c r="AM14"/>
    </row>
    <row r="15" spans="1:39" s="8" customFormat="1" ht="30" customHeight="1" x14ac:dyDescent="0.35">
      <c r="A15" s="65" t="s">
        <v>95</v>
      </c>
      <c r="B15" s="65" t="s">
        <v>163</v>
      </c>
      <c r="C15" s="65"/>
      <c r="D15" s="65"/>
      <c r="E15" s="67" t="s">
        <v>164</v>
      </c>
      <c r="F15" s="66">
        <v>153</v>
      </c>
      <c r="G15" s="66">
        <v>251</v>
      </c>
      <c r="H15" s="11">
        <f t="shared" si="4"/>
        <v>266</v>
      </c>
      <c r="I15" s="14" t="str">
        <f t="shared" si="9"/>
        <v/>
      </c>
      <c r="J15" s="14">
        <f t="shared" si="10"/>
        <v>0.85763293310463118</v>
      </c>
      <c r="K15" s="27"/>
      <c r="L15" s="11"/>
      <c r="M15" s="12"/>
      <c r="N15" s="12" t="str">
        <f t="shared" ref="N15" si="11">IFERROR(U15," ")</f>
        <v xml:space="preserve"> </v>
      </c>
      <c r="O15" s="11" t="str">
        <f t="shared" ref="O15" si="12">IFERROR(V15," ")</f>
        <v/>
      </c>
      <c r="P15" s="29" t="str">
        <f t="shared" ref="P15" si="13">IFERROR(N15-$Y$2,"")</f>
        <v/>
      </c>
      <c r="Q15" s="62" t="s">
        <v>67</v>
      </c>
      <c r="R15" s="30" t="str">
        <f t="shared" ref="R15" si="14">IFERROR(ROUND((1000/Y15)-900,0),"")</f>
        <v/>
      </c>
      <c r="S15" s="60"/>
      <c r="T15" s="69" t="s">
        <v>6</v>
      </c>
      <c r="U15" s="42" t="str">
        <f t="shared" si="6"/>
        <v xml:space="preserve"> </v>
      </c>
      <c r="V15" s="42" t="str">
        <f t="shared" si="7"/>
        <v/>
      </c>
      <c r="W15" s="34"/>
      <c r="X15" s="34"/>
      <c r="Y15" s="43" t="str">
        <f t="shared" si="3"/>
        <v/>
      </c>
      <c r="Z15" s="44" t="str">
        <f t="shared" si="8"/>
        <v/>
      </c>
      <c r="AA15" s="34"/>
      <c r="AB15" s="45">
        <v>6</v>
      </c>
      <c r="AC15" s="45" t="s">
        <v>67</v>
      </c>
      <c r="AD15" s="61" t="s">
        <v>67</v>
      </c>
      <c r="AE15" s="61" t="s">
        <v>67</v>
      </c>
      <c r="AF15"/>
      <c r="AG15"/>
      <c r="AH15" s="27">
        <v>56</v>
      </c>
      <c r="AI15" s="11">
        <v>58</v>
      </c>
      <c r="AJ15"/>
      <c r="AK15" s="27">
        <f>VLOOKUP($B15,'Finish Times'!$A$10:$G$40,6,FALSE)</f>
        <v>0</v>
      </c>
      <c r="AL15"/>
      <c r="AM15"/>
    </row>
    <row r="16" spans="1:39" s="8" customFormat="1" ht="30" customHeight="1" x14ac:dyDescent="0.35">
      <c r="A16" s="65"/>
      <c r="B16" s="65"/>
      <c r="C16" s="65"/>
      <c r="D16" s="65"/>
      <c r="E16" s="67"/>
      <c r="F16" s="66"/>
      <c r="G16" s="66"/>
      <c r="H16" s="11"/>
      <c r="I16" s="14"/>
      <c r="J16" s="14"/>
      <c r="K16" s="27"/>
      <c r="L16" s="11"/>
      <c r="M16" s="12"/>
      <c r="N16" s="12" t="str">
        <f t="shared" si="0"/>
        <v xml:space="preserve"> </v>
      </c>
      <c r="O16" s="11" t="str">
        <f t="shared" si="0"/>
        <v/>
      </c>
      <c r="P16" s="29" t="str">
        <f t="shared" si="1"/>
        <v/>
      </c>
      <c r="Q16" s="62" t="s">
        <v>67</v>
      </c>
      <c r="R16" s="30" t="str">
        <f t="shared" si="2"/>
        <v/>
      </c>
      <c r="S16" s="60"/>
      <c r="T16" s="69" t="s">
        <v>6</v>
      </c>
      <c r="U16" s="42" t="str">
        <f t="shared" si="6"/>
        <v xml:space="preserve"> </v>
      </c>
      <c r="V16" s="42" t="str">
        <f t="shared" si="7"/>
        <v/>
      </c>
      <c r="W16" s="34"/>
      <c r="X16" s="34"/>
      <c r="Y16" s="43" t="str">
        <f t="shared" si="3"/>
        <v/>
      </c>
      <c r="Z16" s="44" t="str">
        <f t="shared" si="8"/>
        <v/>
      </c>
      <c r="AA16" s="34"/>
      <c r="AB16" s="45">
        <v>7</v>
      </c>
      <c r="AC16" s="45" t="s">
        <v>67</v>
      </c>
      <c r="AD16" s="61" t="s">
        <v>67</v>
      </c>
      <c r="AE16" s="61" t="s">
        <v>67</v>
      </c>
      <c r="AF16"/>
      <c r="AG16"/>
      <c r="AH16" s="27">
        <v>64</v>
      </c>
      <c r="AI16" s="11">
        <v>47</v>
      </c>
      <c r="AJ16"/>
      <c r="AK16" s="27" t="e">
        <f>VLOOKUP($B16,'Finish Times'!$A$10:$G$40,6,FALSE)</f>
        <v>#N/A</v>
      </c>
      <c r="AL16"/>
      <c r="AM16"/>
    </row>
    <row r="17" spans="1:39" s="8" customFormat="1" ht="30" customHeight="1" x14ac:dyDescent="0.35">
      <c r="A17" s="65"/>
      <c r="B17" s="65"/>
      <c r="C17" s="65"/>
      <c r="D17" s="65"/>
      <c r="E17" s="67"/>
      <c r="F17" s="66"/>
      <c r="G17" s="66"/>
      <c r="H17" s="11"/>
      <c r="I17" s="14"/>
      <c r="J17" s="14"/>
      <c r="K17" s="27"/>
      <c r="L17" s="11"/>
      <c r="M17" s="12"/>
      <c r="N17" s="12" t="str">
        <f t="shared" si="0"/>
        <v xml:space="preserve"> </v>
      </c>
      <c r="O17" s="11" t="str">
        <f t="shared" si="0"/>
        <v/>
      </c>
      <c r="P17" s="29" t="str">
        <f t="shared" si="1"/>
        <v/>
      </c>
      <c r="Q17" s="62" t="s">
        <v>67</v>
      </c>
      <c r="R17" s="30" t="str">
        <f t="shared" si="2"/>
        <v/>
      </c>
      <c r="S17" s="60"/>
      <c r="T17" s="69" t="s">
        <v>6</v>
      </c>
      <c r="U17" s="42" t="str">
        <f t="shared" si="6"/>
        <v xml:space="preserve"> </v>
      </c>
      <c r="V17" s="42" t="str">
        <f t="shared" si="7"/>
        <v/>
      </c>
      <c r="W17" s="34"/>
      <c r="X17" s="34"/>
      <c r="Y17" s="43" t="str">
        <f t="shared" si="3"/>
        <v/>
      </c>
      <c r="Z17" s="44" t="str">
        <f t="shared" si="8"/>
        <v/>
      </c>
      <c r="AA17" s="34"/>
      <c r="AB17" s="45">
        <v>8</v>
      </c>
      <c r="AC17" s="45" t="s">
        <v>67</v>
      </c>
      <c r="AD17" s="61" t="s">
        <v>67</v>
      </c>
      <c r="AE17" s="61" t="s">
        <v>67</v>
      </c>
      <c r="AF17"/>
      <c r="AG17"/>
      <c r="AH17"/>
      <c r="AI17"/>
      <c r="AJ17"/>
      <c r="AK17" s="27" t="e">
        <f>VLOOKUP($B17,'Finish Times'!$A$10:$G$40,6,FALSE)</f>
        <v>#N/A</v>
      </c>
      <c r="AL17"/>
      <c r="AM17"/>
    </row>
    <row r="18" spans="1:39" s="8" customFormat="1" ht="30" customHeight="1" x14ac:dyDescent="0.35">
      <c r="A18" s="65"/>
      <c r="B18" s="65"/>
      <c r="C18" s="65"/>
      <c r="D18" s="65"/>
      <c r="E18" s="67"/>
      <c r="F18" s="66"/>
      <c r="G18" s="66"/>
      <c r="H18" s="11"/>
      <c r="I18" s="14"/>
      <c r="J18" s="14"/>
      <c r="K18" s="27"/>
      <c r="L18" s="11"/>
      <c r="M18" s="12"/>
      <c r="N18" s="12" t="str">
        <f t="shared" si="0"/>
        <v xml:space="preserve"> </v>
      </c>
      <c r="O18" s="11" t="str">
        <f t="shared" si="0"/>
        <v/>
      </c>
      <c r="P18" s="29" t="str">
        <f t="shared" si="1"/>
        <v/>
      </c>
      <c r="Q18" s="62" t="s">
        <v>67</v>
      </c>
      <c r="R18" s="30" t="str">
        <f t="shared" si="2"/>
        <v/>
      </c>
      <c r="S18" s="60"/>
      <c r="T18" s="69" t="s">
        <v>6</v>
      </c>
      <c r="U18" s="42" t="str">
        <f t="shared" si="6"/>
        <v xml:space="preserve"> </v>
      </c>
      <c r="V18" s="42" t="str">
        <f t="shared" si="7"/>
        <v/>
      </c>
      <c r="W18" s="34"/>
      <c r="X18" s="34"/>
      <c r="Y18" s="43" t="str">
        <f t="shared" si="3"/>
        <v/>
      </c>
      <c r="Z18" s="44" t="str">
        <f t="shared" si="8"/>
        <v/>
      </c>
      <c r="AA18" s="34"/>
      <c r="AB18" s="45">
        <v>9</v>
      </c>
      <c r="AC18" s="45" t="s">
        <v>67</v>
      </c>
      <c r="AD18" s="61" t="s">
        <v>67</v>
      </c>
      <c r="AE18" s="61" t="s">
        <v>67</v>
      </c>
      <c r="AF18"/>
      <c r="AG18"/>
      <c r="AH18"/>
      <c r="AI18"/>
      <c r="AJ18"/>
      <c r="AK18" s="27" t="e">
        <f>VLOOKUP($B18,'Finish Times'!$A$10:$G$40,6,FALSE)</f>
        <v>#N/A</v>
      </c>
      <c r="AL18"/>
      <c r="AM18"/>
    </row>
    <row r="19" spans="1:39" s="8" customFormat="1" ht="30" customHeight="1" x14ac:dyDescent="0.35">
      <c r="A19" s="65"/>
      <c r="B19" s="65"/>
      <c r="C19" s="65"/>
      <c r="D19" s="65"/>
      <c r="E19" s="67"/>
      <c r="F19" s="66"/>
      <c r="G19" s="66"/>
      <c r="H19" s="11"/>
      <c r="I19" s="14"/>
      <c r="J19" s="14"/>
      <c r="K19" s="27"/>
      <c r="L19" s="11"/>
      <c r="M19" s="12"/>
      <c r="N19" s="12" t="str">
        <f t="shared" si="0"/>
        <v xml:space="preserve"> </v>
      </c>
      <c r="O19" s="11" t="str">
        <f t="shared" si="0"/>
        <v/>
      </c>
      <c r="P19" s="29" t="str">
        <f t="shared" si="1"/>
        <v/>
      </c>
      <c r="Q19" s="62" t="s">
        <v>67</v>
      </c>
      <c r="R19" s="30" t="str">
        <f t="shared" si="2"/>
        <v/>
      </c>
      <c r="S19" s="60"/>
      <c r="T19" s="69" t="s">
        <v>6</v>
      </c>
      <c r="U19" s="42" t="str">
        <f t="shared" si="6"/>
        <v xml:space="preserve"> </v>
      </c>
      <c r="V19" s="42" t="str">
        <f t="shared" si="7"/>
        <v/>
      </c>
      <c r="W19" s="34"/>
      <c r="X19" s="34"/>
      <c r="Y19" s="43" t="str">
        <f t="shared" si="3"/>
        <v/>
      </c>
      <c r="Z19" s="44" t="str">
        <f t="shared" si="8"/>
        <v/>
      </c>
      <c r="AA19" s="34"/>
      <c r="AB19" s="45">
        <v>10</v>
      </c>
      <c r="AC19" s="45" t="s">
        <v>67</v>
      </c>
      <c r="AD19" s="61" t="s">
        <v>67</v>
      </c>
      <c r="AE19" s="61" t="s">
        <v>67</v>
      </c>
      <c r="AF19"/>
      <c r="AG19"/>
      <c r="AH19"/>
      <c r="AI19"/>
      <c r="AJ19"/>
      <c r="AK19" s="27" t="e">
        <f>VLOOKUP($B19,'Finish Times'!$A$10:$G$40,6,FALSE)</f>
        <v>#N/A</v>
      </c>
      <c r="AL19"/>
      <c r="AM19"/>
    </row>
    <row r="20" spans="1:39" s="8" customFormat="1" ht="30" customHeight="1" x14ac:dyDescent="0.35">
      <c r="A20" s="65"/>
      <c r="B20" s="65"/>
      <c r="C20" s="65"/>
      <c r="D20" s="65"/>
      <c r="E20" s="67"/>
      <c r="F20" s="66"/>
      <c r="G20" s="66"/>
      <c r="H20" s="11"/>
      <c r="I20" s="14"/>
      <c r="J20" s="14"/>
      <c r="K20" s="27"/>
      <c r="L20" s="11"/>
      <c r="M20" s="12"/>
      <c r="N20" s="12" t="str">
        <f t="shared" si="0"/>
        <v xml:space="preserve"> </v>
      </c>
      <c r="O20" s="11" t="str">
        <f t="shared" si="0"/>
        <v/>
      </c>
      <c r="P20" s="29" t="str">
        <f t="shared" si="1"/>
        <v/>
      </c>
      <c r="Q20" s="62" t="s">
        <v>67</v>
      </c>
      <c r="R20" s="30" t="str">
        <f t="shared" si="2"/>
        <v/>
      </c>
      <c r="S20" s="60"/>
      <c r="T20" s="69" t="s">
        <v>7</v>
      </c>
      <c r="U20" s="42" t="str">
        <f t="shared" si="6"/>
        <v xml:space="preserve"> </v>
      </c>
      <c r="V20" s="42" t="str">
        <f t="shared" si="7"/>
        <v/>
      </c>
      <c r="W20" s="34"/>
      <c r="X20" s="34"/>
      <c r="Y20" s="43" t="str">
        <f t="shared" si="3"/>
        <v/>
      </c>
      <c r="Z20" s="44" t="str">
        <f t="shared" si="8"/>
        <v/>
      </c>
      <c r="AA20" s="34"/>
      <c r="AB20" s="45">
        <v>11</v>
      </c>
      <c r="AC20" s="46" t="s">
        <v>67</v>
      </c>
      <c r="AD20" s="63" t="s">
        <v>67</v>
      </c>
      <c r="AE20" s="61" t="s">
        <v>67</v>
      </c>
      <c r="AK20" s="27" t="e">
        <f>VLOOKUP($B20,'Finish Times'!$A$10:$G$40,6,FALSE)</f>
        <v>#N/A</v>
      </c>
    </row>
    <row r="21" spans="1:39" s="8" customFormat="1" ht="30" customHeight="1" x14ac:dyDescent="0.35">
      <c r="A21" s="65"/>
      <c r="B21" s="65"/>
      <c r="C21" s="65"/>
      <c r="D21" s="65"/>
      <c r="E21" s="67"/>
      <c r="F21" s="66"/>
      <c r="G21" s="66"/>
      <c r="H21" s="11"/>
      <c r="I21" s="14"/>
      <c r="J21" s="14"/>
      <c r="K21" s="27"/>
      <c r="L21" s="11"/>
      <c r="M21" s="12"/>
      <c r="N21" s="12" t="str">
        <f t="shared" si="0"/>
        <v xml:space="preserve"> </v>
      </c>
      <c r="O21" s="11" t="str">
        <f t="shared" si="0"/>
        <v/>
      </c>
      <c r="P21" s="29" t="str">
        <f t="shared" si="1"/>
        <v/>
      </c>
      <c r="Q21" s="62" t="s">
        <v>67</v>
      </c>
      <c r="R21" s="30" t="str">
        <f t="shared" si="2"/>
        <v/>
      </c>
      <c r="S21" s="60"/>
      <c r="T21" s="69" t="s">
        <v>6</v>
      </c>
      <c r="U21" s="42" t="str">
        <f t="shared" si="6"/>
        <v xml:space="preserve"> </v>
      </c>
      <c r="V21" s="42" t="str">
        <f t="shared" si="7"/>
        <v/>
      </c>
      <c r="W21" s="34"/>
      <c r="X21" s="34"/>
      <c r="Y21" s="43" t="str">
        <f t="shared" si="3"/>
        <v/>
      </c>
      <c r="Z21" s="44" t="str">
        <f t="shared" si="8"/>
        <v/>
      </c>
      <c r="AA21" s="34"/>
      <c r="AB21" s="45">
        <v>12</v>
      </c>
      <c r="AC21" s="46" t="s">
        <v>67</v>
      </c>
      <c r="AD21" s="63" t="s">
        <v>67</v>
      </c>
      <c r="AE21" s="61" t="s">
        <v>67</v>
      </c>
      <c r="AK21" s="27" t="e">
        <f>VLOOKUP($B21,'Finish Times'!$A$10:$G$40,6,FALSE)</f>
        <v>#N/A</v>
      </c>
    </row>
    <row r="22" spans="1:39" s="8" customFormat="1" ht="30" customHeight="1" x14ac:dyDescent="0.35">
      <c r="A22" s="65"/>
      <c r="B22" s="65"/>
      <c r="C22" s="65"/>
      <c r="D22" s="65"/>
      <c r="E22" s="67"/>
      <c r="F22" s="66"/>
      <c r="G22" s="66"/>
      <c r="H22" s="11"/>
      <c r="I22" s="14"/>
      <c r="J22" s="14"/>
      <c r="K22" s="27"/>
      <c r="L22" s="11"/>
      <c r="M22" s="12"/>
      <c r="N22" s="12" t="str">
        <f t="shared" si="0"/>
        <v xml:space="preserve"> </v>
      </c>
      <c r="O22" s="11" t="str">
        <f t="shared" si="0"/>
        <v/>
      </c>
      <c r="P22" s="29" t="str">
        <f t="shared" si="1"/>
        <v/>
      </c>
      <c r="Q22" s="62" t="s">
        <v>67</v>
      </c>
      <c r="R22" s="30" t="str">
        <f t="shared" si="2"/>
        <v/>
      </c>
      <c r="S22" s="60"/>
      <c r="T22" s="69" t="s">
        <v>6</v>
      </c>
      <c r="U22" s="42" t="str">
        <f t="shared" si="6"/>
        <v xml:space="preserve"> </v>
      </c>
      <c r="V22" s="42" t="str">
        <f t="shared" si="7"/>
        <v/>
      </c>
      <c r="W22" s="34"/>
      <c r="X22" s="34"/>
      <c r="Y22" s="43" t="str">
        <f t="shared" si="3"/>
        <v/>
      </c>
      <c r="Z22" s="44" t="str">
        <f t="shared" si="8"/>
        <v/>
      </c>
      <c r="AA22" s="34"/>
      <c r="AB22" s="45">
        <v>13</v>
      </c>
      <c r="AC22" s="46" t="s">
        <v>67</v>
      </c>
      <c r="AD22" s="63" t="s">
        <v>67</v>
      </c>
      <c r="AE22" s="61" t="s">
        <v>67</v>
      </c>
      <c r="AK22" s="27" t="e">
        <f>VLOOKUP($B22,'Finish Times'!$A$10:$G$40,6,FALSE)</f>
        <v>#N/A</v>
      </c>
    </row>
    <row r="23" spans="1:39" s="8" customFormat="1" ht="30" customHeight="1" x14ac:dyDescent="0.35">
      <c r="A23" s="65"/>
      <c r="B23" s="65"/>
      <c r="C23" s="65"/>
      <c r="D23" s="65"/>
      <c r="E23" s="67"/>
      <c r="F23" s="66"/>
      <c r="G23" s="66"/>
      <c r="H23" s="11"/>
      <c r="I23" s="14"/>
      <c r="J23" s="14"/>
      <c r="K23" s="27"/>
      <c r="L23" s="11"/>
      <c r="M23" s="12"/>
      <c r="N23" s="12" t="str">
        <f t="shared" si="0"/>
        <v xml:space="preserve"> </v>
      </c>
      <c r="O23" s="11" t="str">
        <f t="shared" si="0"/>
        <v/>
      </c>
      <c r="P23" s="29" t="str">
        <f t="shared" si="1"/>
        <v/>
      </c>
      <c r="Q23" s="62" t="s">
        <v>67</v>
      </c>
      <c r="R23" s="30" t="str">
        <f t="shared" si="2"/>
        <v/>
      </c>
      <c r="S23" s="60"/>
      <c r="T23" s="69" t="s">
        <v>6</v>
      </c>
      <c r="U23" s="42" t="str">
        <f t="shared" si="6"/>
        <v xml:space="preserve"> </v>
      </c>
      <c r="V23" s="42" t="str">
        <f t="shared" si="7"/>
        <v/>
      </c>
      <c r="W23" s="34"/>
      <c r="X23" s="34"/>
      <c r="Y23" s="43" t="str">
        <f t="shared" si="3"/>
        <v/>
      </c>
      <c r="Z23" s="44" t="str">
        <f t="shared" si="8"/>
        <v/>
      </c>
      <c r="AA23" s="34"/>
      <c r="AB23" s="45">
        <v>14</v>
      </c>
      <c r="AC23" s="46" t="s">
        <v>67</v>
      </c>
      <c r="AD23" s="63" t="s">
        <v>67</v>
      </c>
      <c r="AE23" s="61" t="s">
        <v>67</v>
      </c>
      <c r="AK23" s="27" t="e">
        <f>VLOOKUP($B23,'Finish Times'!$A$10:$G$40,6,FALSE)</f>
        <v>#N/A</v>
      </c>
    </row>
    <row r="24" spans="1:39" s="8" customFormat="1" ht="30" customHeight="1" x14ac:dyDescent="0.35">
      <c r="A24" s="65"/>
      <c r="B24" s="65"/>
      <c r="C24" s="65"/>
      <c r="D24" s="65"/>
      <c r="E24" s="67"/>
      <c r="F24" s="66"/>
      <c r="G24" s="66"/>
      <c r="H24" s="11"/>
      <c r="I24" s="14"/>
      <c r="J24" s="14"/>
      <c r="K24" s="27"/>
      <c r="L24" s="11"/>
      <c r="M24" s="12"/>
      <c r="N24" s="12" t="str">
        <f t="shared" si="0"/>
        <v xml:space="preserve"> </v>
      </c>
      <c r="O24" s="11" t="str">
        <f t="shared" si="0"/>
        <v/>
      </c>
      <c r="P24" s="29" t="str">
        <f t="shared" si="1"/>
        <v/>
      </c>
      <c r="Q24" s="62" t="s">
        <v>67</v>
      </c>
      <c r="R24" s="30" t="str">
        <f t="shared" si="2"/>
        <v/>
      </c>
      <c r="S24" s="60"/>
      <c r="T24" s="69" t="s">
        <v>6</v>
      </c>
      <c r="U24" s="42" t="str">
        <f t="shared" si="6"/>
        <v xml:space="preserve"> </v>
      </c>
      <c r="V24" s="42" t="str">
        <f t="shared" si="7"/>
        <v/>
      </c>
      <c r="W24" s="34"/>
      <c r="X24" s="34"/>
      <c r="Y24" s="43" t="str">
        <f t="shared" si="3"/>
        <v/>
      </c>
      <c r="Z24" s="44" t="str">
        <f t="shared" si="8"/>
        <v/>
      </c>
      <c r="AA24" s="34"/>
      <c r="AB24" s="45">
        <v>15</v>
      </c>
      <c r="AC24" s="46" t="s">
        <v>67</v>
      </c>
      <c r="AD24" s="63" t="s">
        <v>67</v>
      </c>
      <c r="AE24" s="61" t="s">
        <v>67</v>
      </c>
      <c r="AK24" s="27" t="e">
        <f>VLOOKUP($B24,'Finish Times'!$A$10:$G$40,6,FALSE)</f>
        <v>#N/A</v>
      </c>
    </row>
    <row r="25" spans="1:39" s="8" customFormat="1" ht="31.2" x14ac:dyDescent="0.6">
      <c r="A25" s="10" t="s">
        <v>5</v>
      </c>
      <c r="B25" s="10"/>
      <c r="C25" s="10"/>
      <c r="D25" s="10"/>
      <c r="E25" s="10"/>
      <c r="F25" s="10"/>
      <c r="G25" s="10"/>
      <c r="H25" s="10"/>
      <c r="I25" s="10"/>
      <c r="J25" s="10"/>
      <c r="K25" s="6"/>
      <c r="L25" s="6"/>
      <c r="M25" s="7"/>
      <c r="N25" s="9" t="s">
        <v>99</v>
      </c>
      <c r="Q25" s="62" t="s">
        <v>67</v>
      </c>
      <c r="AE25" s="61" t="s">
        <v>67</v>
      </c>
    </row>
    <row r="26" spans="1:39" ht="18" x14ac:dyDescent="0.35">
      <c r="A26" s="6" t="s">
        <v>4</v>
      </c>
      <c r="B26" s="6"/>
      <c r="C26" s="6"/>
      <c r="D26" s="6"/>
      <c r="E26" s="6"/>
      <c r="F26" s="6"/>
      <c r="G26" s="6"/>
      <c r="H26" s="6"/>
      <c r="I26" s="6"/>
      <c r="J26" s="6"/>
      <c r="K26" s="6"/>
      <c r="L26" s="6"/>
      <c r="M26" s="7"/>
      <c r="N26" s="7"/>
      <c r="O26" s="5"/>
      <c r="Q26" s="62">
        <v>0</v>
      </c>
      <c r="Y26" s="20"/>
      <c r="AE26" s="61">
        <v>0</v>
      </c>
    </row>
    <row r="27" spans="1:39" ht="18" x14ac:dyDescent="0.35">
      <c r="A27" s="6" t="s">
        <v>3</v>
      </c>
      <c r="B27" s="6"/>
      <c r="C27" s="6"/>
      <c r="D27" s="6"/>
      <c r="E27" s="6"/>
      <c r="F27" s="6"/>
      <c r="G27" s="6"/>
      <c r="H27" s="6"/>
      <c r="I27" s="6"/>
      <c r="J27" s="6"/>
      <c r="K27" s="6"/>
      <c r="L27" s="6"/>
      <c r="M27" s="5"/>
      <c r="N27" s="5"/>
      <c r="O27" s="5"/>
      <c r="Q27" s="62">
        <v>0</v>
      </c>
      <c r="AE27" s="61">
        <v>0</v>
      </c>
    </row>
    <row r="28" spans="1:39" ht="18" x14ac:dyDescent="0.35">
      <c r="A28" s="6" t="s">
        <v>2</v>
      </c>
      <c r="B28" s="6"/>
      <c r="C28" s="6"/>
      <c r="D28" s="6"/>
      <c r="E28" s="6"/>
      <c r="F28" s="6"/>
      <c r="G28" s="6"/>
      <c r="H28" s="6"/>
      <c r="I28" s="6"/>
      <c r="J28" s="6"/>
      <c r="K28" s="6"/>
      <c r="L28" s="6"/>
      <c r="M28" s="5"/>
      <c r="N28" s="5"/>
      <c r="O28" s="5"/>
      <c r="Q28" s="62">
        <v>0</v>
      </c>
      <c r="AE28" s="61">
        <v>0</v>
      </c>
    </row>
    <row r="30" spans="1:39" ht="30" customHeight="1" x14ac:dyDescent="1.1000000000000001">
      <c r="A30" s="4" t="s">
        <v>99</v>
      </c>
      <c r="B30" s="4"/>
      <c r="C30" s="4"/>
      <c r="D30" s="4"/>
      <c r="E30" s="4"/>
      <c r="F30" s="4"/>
      <c r="G30" s="4"/>
      <c r="H30" s="4"/>
      <c r="I30" s="4"/>
      <c r="J30" s="4"/>
      <c r="K30" s="4"/>
      <c r="L30" s="4"/>
      <c r="M30" s="4" t="s">
        <v>0</v>
      </c>
      <c r="N30" s="3"/>
      <c r="O30" s="2"/>
    </row>
  </sheetData>
  <sortState ref="AB10:AE28">
    <sortCondition ref="AB10:AB28"/>
  </sortState>
  <mergeCells count="7">
    <mergeCell ref="A5:O5"/>
    <mergeCell ref="A6:O6"/>
    <mergeCell ref="A7:O7"/>
    <mergeCell ref="T7:V7"/>
    <mergeCell ref="G8:H8"/>
    <mergeCell ref="I8:J8"/>
    <mergeCell ref="K8:L8"/>
  </mergeCells>
  <printOptions horizontalCentered="1" verticalCentered="1"/>
  <pageMargins left="0.2" right="0.2" top="0.75" bottom="0.5" header="0.3" footer="0.05"/>
  <pageSetup scale="7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M29"/>
  <sheetViews>
    <sheetView tabSelected="1" zoomScale="83" zoomScaleNormal="83" workbookViewId="0">
      <selection activeCell="A6" sqref="A6:O6"/>
    </sheetView>
  </sheetViews>
  <sheetFormatPr defaultRowHeight="14.4" x14ac:dyDescent="0.3"/>
  <cols>
    <col min="1" max="1" width="15.6640625" customWidth="1"/>
    <col min="2" max="2" width="16.5546875" customWidth="1"/>
    <col min="3" max="3" width="9.33203125" customWidth="1"/>
    <col min="4" max="4" width="9.6640625" customWidth="1"/>
    <col min="5" max="5" width="18.44140625" customWidth="1"/>
    <col min="6" max="7" width="8.6640625" customWidth="1"/>
    <col min="8" max="8" width="10.6640625" customWidth="1"/>
    <col min="9" max="9" width="9.109375" bestFit="1" customWidth="1"/>
    <col min="10" max="10" width="10.6640625" customWidth="1"/>
    <col min="11" max="12" width="8.6640625" customWidth="1"/>
    <col min="13" max="13" width="9" customWidth="1"/>
    <col min="14" max="14" width="9.44140625" customWidth="1"/>
    <col min="15" max="15" width="8.6640625" style="1" customWidth="1"/>
    <col min="25" max="26" width="16" bestFit="1" customWidth="1"/>
    <col min="27" max="27" width="9.5546875" bestFit="1" customWidth="1"/>
    <col min="32" max="32" width="10.5546875" bestFit="1" customWidth="1"/>
  </cols>
  <sheetData>
    <row r="1" spans="1:39" x14ac:dyDescent="0.3">
      <c r="A1" s="47" t="s">
        <v>131</v>
      </c>
      <c r="B1" s="47"/>
      <c r="C1" s="47"/>
      <c r="D1" s="47"/>
      <c r="E1" s="47"/>
      <c r="F1" s="47"/>
      <c r="G1" s="47"/>
      <c r="H1" s="47"/>
      <c r="I1" s="47"/>
      <c r="J1" s="47"/>
      <c r="K1" s="47"/>
      <c r="L1" s="47"/>
      <c r="M1" s="47"/>
      <c r="N1" s="47"/>
      <c r="O1" s="50"/>
      <c r="P1" s="47"/>
      <c r="Q1" s="47"/>
      <c r="R1" s="47"/>
      <c r="S1" s="56"/>
      <c r="T1" s="31"/>
      <c r="U1" s="32"/>
      <c r="V1" s="32"/>
      <c r="W1" s="32"/>
      <c r="X1" s="32"/>
      <c r="Y1" s="34" t="s">
        <v>43</v>
      </c>
      <c r="Z1" s="32"/>
      <c r="AA1" s="32"/>
      <c r="AB1" s="32"/>
      <c r="AC1" s="32"/>
      <c r="AD1" s="32"/>
      <c r="AE1" s="52"/>
    </row>
    <row r="2" spans="1:39" x14ac:dyDescent="0.3">
      <c r="A2" s="47"/>
      <c r="B2" s="47"/>
      <c r="C2" s="47"/>
      <c r="D2" s="47"/>
      <c r="E2" s="47"/>
      <c r="F2" s="47"/>
      <c r="G2" s="47"/>
      <c r="H2" s="47"/>
      <c r="I2" s="47"/>
      <c r="J2" s="47"/>
      <c r="K2" s="47"/>
      <c r="L2" s="47"/>
      <c r="M2" s="47"/>
      <c r="N2" s="47"/>
      <c r="O2" s="50"/>
      <c r="P2" s="47"/>
      <c r="Q2" s="47"/>
      <c r="R2" s="47"/>
      <c r="S2" s="56"/>
      <c r="T2" s="31"/>
      <c r="U2" s="32"/>
      <c r="V2" s="32"/>
      <c r="W2" s="32"/>
      <c r="X2" s="32"/>
      <c r="Y2" s="41">
        <f>MIN(N10:N23)</f>
        <v>54.252336448598129</v>
      </c>
      <c r="Z2" s="32"/>
      <c r="AA2" s="32"/>
      <c r="AB2" s="32"/>
      <c r="AC2" s="32"/>
      <c r="AD2" s="32"/>
      <c r="AE2" s="52"/>
    </row>
    <row r="3" spans="1:39" ht="18" x14ac:dyDescent="0.35">
      <c r="A3" s="18">
        <v>0</v>
      </c>
      <c r="B3" s="51" t="s">
        <v>52</v>
      </c>
      <c r="C3" s="47"/>
      <c r="D3" s="47"/>
      <c r="E3" s="47"/>
      <c r="F3" s="47"/>
      <c r="G3" s="47"/>
      <c r="H3" s="47"/>
      <c r="I3" s="47"/>
      <c r="J3" s="47"/>
      <c r="K3" s="47"/>
      <c r="L3" s="47"/>
      <c r="M3" s="47"/>
      <c r="N3" s="47"/>
      <c r="O3" s="50"/>
      <c r="P3" s="47"/>
      <c r="Q3" s="47"/>
      <c r="R3" s="47"/>
      <c r="S3" s="56"/>
      <c r="T3" s="31"/>
      <c r="U3" s="32"/>
      <c r="V3" s="32"/>
      <c r="W3" s="32"/>
      <c r="X3" s="32"/>
      <c r="Y3" s="32"/>
      <c r="Z3" s="32"/>
      <c r="AA3" s="32"/>
      <c r="AB3" s="32"/>
      <c r="AC3" s="32"/>
      <c r="AD3" s="32"/>
      <c r="AE3" s="52"/>
    </row>
    <row r="4" spans="1:39" x14ac:dyDescent="0.3">
      <c r="A4" s="47"/>
      <c r="B4" s="47"/>
      <c r="C4" s="47"/>
      <c r="D4" s="47"/>
      <c r="E4" s="47"/>
      <c r="F4" s="47"/>
      <c r="G4" s="47"/>
      <c r="H4" s="47"/>
      <c r="I4" s="47"/>
      <c r="J4" s="47"/>
      <c r="K4" s="47"/>
      <c r="L4" s="47"/>
      <c r="M4" s="47"/>
      <c r="N4" s="47"/>
      <c r="O4" s="50"/>
      <c r="P4" s="47"/>
      <c r="Q4" s="47"/>
      <c r="R4" s="47"/>
      <c r="S4" s="56"/>
      <c r="T4" s="31"/>
      <c r="U4" s="32"/>
      <c r="V4" s="32"/>
      <c r="W4" s="32"/>
      <c r="X4" s="32"/>
      <c r="Y4" s="32"/>
      <c r="Z4" s="32"/>
      <c r="AA4" s="32"/>
      <c r="AB4" s="32"/>
      <c r="AC4" s="32"/>
      <c r="AD4" s="32"/>
      <c r="AE4" s="52"/>
    </row>
    <row r="5" spans="1:39" ht="31.2" x14ac:dyDescent="0.6">
      <c r="A5" s="94" t="s">
        <v>82</v>
      </c>
      <c r="B5" s="94"/>
      <c r="C5" s="94"/>
      <c r="D5" s="94"/>
      <c r="E5" s="94"/>
      <c r="F5" s="94"/>
      <c r="G5" s="94"/>
      <c r="H5" s="94"/>
      <c r="I5" s="94"/>
      <c r="J5" s="94"/>
      <c r="K5" s="94"/>
      <c r="L5" s="94"/>
      <c r="M5" s="94"/>
      <c r="N5" s="94"/>
      <c r="O5" s="94"/>
      <c r="P5" s="47"/>
      <c r="Q5" s="47"/>
      <c r="R5" s="47"/>
      <c r="S5" s="56"/>
      <c r="T5" s="33"/>
      <c r="U5" s="32"/>
      <c r="V5" s="32"/>
      <c r="W5" s="32"/>
      <c r="X5" s="32"/>
      <c r="Y5" s="32"/>
      <c r="Z5" s="32" t="s">
        <v>59</v>
      </c>
      <c r="AA5" s="32"/>
      <c r="AB5" s="32"/>
      <c r="AC5" s="32"/>
      <c r="AD5" s="32"/>
      <c r="AE5" s="52"/>
    </row>
    <row r="6" spans="1:39" s="8" customFormat="1" ht="18.600000000000001" thickBot="1" x14ac:dyDescent="0.4">
      <c r="A6" s="95" t="s">
        <v>167</v>
      </c>
      <c r="B6" s="95"/>
      <c r="C6" s="95"/>
      <c r="D6" s="95"/>
      <c r="E6" s="95"/>
      <c r="F6" s="95"/>
      <c r="G6" s="95"/>
      <c r="H6" s="95"/>
      <c r="I6" s="95"/>
      <c r="J6" s="95"/>
      <c r="K6" s="95"/>
      <c r="L6" s="95"/>
      <c r="M6" s="95"/>
      <c r="N6" s="95"/>
      <c r="O6" s="95"/>
      <c r="P6" s="48"/>
      <c r="Q6" s="48"/>
      <c r="R6" s="48"/>
      <c r="S6" s="57"/>
      <c r="T6" s="33"/>
      <c r="U6" s="34"/>
      <c r="V6" s="34"/>
      <c r="W6" s="34"/>
      <c r="X6" s="34"/>
      <c r="Y6" s="35" t="s">
        <v>58</v>
      </c>
      <c r="Z6" s="34" t="s">
        <v>60</v>
      </c>
      <c r="AA6" s="36"/>
      <c r="AB6" s="34"/>
      <c r="AC6" s="34"/>
      <c r="AD6" s="34"/>
      <c r="AE6" s="53"/>
    </row>
    <row r="7" spans="1:39" ht="18" customHeight="1" thickTop="1" x14ac:dyDescent="0.3">
      <c r="A7" s="96"/>
      <c r="B7" s="96"/>
      <c r="C7" s="96"/>
      <c r="D7" s="96"/>
      <c r="E7" s="96"/>
      <c r="F7" s="96"/>
      <c r="G7" s="96"/>
      <c r="H7" s="96"/>
      <c r="I7" s="96"/>
      <c r="J7" s="96"/>
      <c r="K7" s="96"/>
      <c r="L7" s="96"/>
      <c r="M7" s="96"/>
      <c r="N7" s="96"/>
      <c r="O7" s="96"/>
      <c r="P7" s="23" t="s">
        <v>31</v>
      </c>
      <c r="Q7" s="23" t="s">
        <v>31</v>
      </c>
      <c r="R7" s="49" t="s">
        <v>55</v>
      </c>
      <c r="S7" s="58"/>
      <c r="T7" s="97" t="s">
        <v>50</v>
      </c>
      <c r="U7" s="98"/>
      <c r="V7" s="99"/>
      <c r="W7" s="32"/>
      <c r="X7" s="32"/>
      <c r="Y7" s="36" t="s">
        <v>56</v>
      </c>
      <c r="Z7" s="36" t="s">
        <v>56</v>
      </c>
      <c r="AA7" s="36"/>
      <c r="AB7" s="32"/>
      <c r="AC7" s="54" t="s">
        <v>72</v>
      </c>
      <c r="AD7" s="32"/>
      <c r="AE7" s="52"/>
    </row>
    <row r="8" spans="1:39" s="8" customFormat="1" ht="18" x14ac:dyDescent="0.35">
      <c r="A8" s="17"/>
      <c r="B8" s="17"/>
      <c r="C8" s="16"/>
      <c r="D8" s="16"/>
      <c r="E8" s="16"/>
      <c r="F8" s="16"/>
      <c r="G8" s="100" t="s">
        <v>49</v>
      </c>
      <c r="H8" s="100"/>
      <c r="I8" s="100" t="s">
        <v>48</v>
      </c>
      <c r="J8" s="100"/>
      <c r="K8" s="100" t="s">
        <v>47</v>
      </c>
      <c r="L8" s="100"/>
      <c r="M8" s="21" t="s">
        <v>46</v>
      </c>
      <c r="N8" s="21" t="s">
        <v>45</v>
      </c>
      <c r="O8" s="19"/>
      <c r="P8" s="24" t="s">
        <v>29</v>
      </c>
      <c r="Q8" s="24" t="s">
        <v>29</v>
      </c>
      <c r="R8" s="22" t="s">
        <v>53</v>
      </c>
      <c r="S8" s="59"/>
      <c r="T8" s="37" t="s">
        <v>44</v>
      </c>
      <c r="U8" s="35"/>
      <c r="V8" s="38"/>
      <c r="W8" s="32"/>
      <c r="X8" s="34"/>
      <c r="Y8" s="39" t="s">
        <v>57</v>
      </c>
      <c r="Z8" s="35"/>
      <c r="AA8" s="35"/>
      <c r="AB8" s="35"/>
      <c r="AC8" s="35">
        <f>MAX(AC10:AC23)</f>
        <v>3</v>
      </c>
      <c r="AD8" s="35"/>
      <c r="AE8" s="53"/>
    </row>
    <row r="9" spans="1:39" s="8" customFormat="1" ht="18.600000000000001" thickBot="1" x14ac:dyDescent="0.4">
      <c r="A9" s="15" t="s">
        <v>42</v>
      </c>
      <c r="B9" s="15" t="s">
        <v>41</v>
      </c>
      <c r="C9" s="21" t="s">
        <v>40</v>
      </c>
      <c r="D9" s="21" t="s">
        <v>39</v>
      </c>
      <c r="E9" s="21" t="s">
        <v>38</v>
      </c>
      <c r="F9" s="21" t="s">
        <v>37</v>
      </c>
      <c r="G9" s="21" t="s">
        <v>36</v>
      </c>
      <c r="H9" s="21" t="s">
        <v>35</v>
      </c>
      <c r="I9" s="21" t="s">
        <v>36</v>
      </c>
      <c r="J9" s="21" t="s">
        <v>35</v>
      </c>
      <c r="K9" s="21" t="s">
        <v>34</v>
      </c>
      <c r="L9" s="21" t="s">
        <v>33</v>
      </c>
      <c r="M9" s="21" t="s">
        <v>32</v>
      </c>
      <c r="N9" s="21" t="s">
        <v>31</v>
      </c>
      <c r="O9" s="19" t="s">
        <v>30</v>
      </c>
      <c r="P9" s="25" t="s">
        <v>43</v>
      </c>
      <c r="Q9" s="26" t="s">
        <v>66</v>
      </c>
      <c r="R9" s="22" t="s">
        <v>54</v>
      </c>
      <c r="S9" s="59"/>
      <c r="T9" s="40" t="s">
        <v>28</v>
      </c>
      <c r="U9" s="35"/>
      <c r="V9" s="38"/>
      <c r="W9" s="32"/>
      <c r="X9" s="34"/>
      <c r="Y9" s="35"/>
      <c r="Z9" s="35"/>
      <c r="AA9" s="35"/>
      <c r="AB9" s="32"/>
      <c r="AC9" s="32"/>
      <c r="AD9" s="32"/>
      <c r="AE9" s="52"/>
      <c r="AF9"/>
      <c r="AG9"/>
      <c r="AH9"/>
      <c r="AI9"/>
      <c r="AJ9"/>
      <c r="AK9"/>
      <c r="AL9"/>
      <c r="AM9"/>
    </row>
    <row r="10" spans="1:39" s="8" customFormat="1" ht="30" customHeight="1" thickTop="1" x14ac:dyDescent="0.35">
      <c r="A10" s="65" t="s">
        <v>68</v>
      </c>
      <c r="B10" s="65" t="s">
        <v>61</v>
      </c>
      <c r="C10" s="65"/>
      <c r="D10" s="65"/>
      <c r="E10" s="66" t="s">
        <v>73</v>
      </c>
      <c r="F10" s="66">
        <v>2792</v>
      </c>
      <c r="G10" s="66">
        <v>170</v>
      </c>
      <c r="H10" s="11">
        <f t="shared" ref="H10:H16" si="0">IFERROR(G10+15,"")</f>
        <v>185</v>
      </c>
      <c r="I10" s="14">
        <f t="shared" ref="I10:I16" si="1">IF(T10 = "s",1000/(900+G10),"")</f>
        <v>0.93457943925233644</v>
      </c>
      <c r="J10" s="14" t="str">
        <f>IF(T10 ="n",1000/(900+H10),"")</f>
        <v/>
      </c>
      <c r="K10" s="27" t="str">
        <f>IF($AK10&gt;0,(VLOOKUP($B10,'Finish Times'!$A$10:$G$40,6,FALSE)),"")</f>
        <v/>
      </c>
      <c r="L10" s="11" t="str">
        <f>IF($AK10&gt;0,(VLOOKUP($B10,'Finish Times'!$A$10:$G$40,7,FALSE)),"")</f>
        <v/>
      </c>
      <c r="M10" s="12" t="str">
        <f>IF(AK10&gt;0,(K10+L10/60)-A$3," ")</f>
        <v xml:space="preserve"> </v>
      </c>
      <c r="N10" s="12" t="str">
        <f t="shared" ref="N10:O23" si="2">IFERROR(U10," ")</f>
        <v/>
      </c>
      <c r="O10" s="11" t="s">
        <v>168</v>
      </c>
      <c r="P10" s="28" t="str">
        <f t="shared" ref="P10:P23" si="3">IFERROR(N10-$Y$2,"")</f>
        <v/>
      </c>
      <c r="Q10" s="62" t="s">
        <v>67</v>
      </c>
      <c r="R10" s="30" t="str">
        <f t="shared" ref="R10:R23" si="4">IFERROR(ROUND((1000/Y10)-900,0),"")</f>
        <v/>
      </c>
      <c r="S10" s="60"/>
      <c r="T10" s="69" t="s">
        <v>7</v>
      </c>
      <c r="U10" s="42" t="str">
        <f>IFERROR(IF(M10&gt;0,IF(T10="s",M10*I10,0)+IF(T10="n",M10*J10,0)," "),"")</f>
        <v/>
      </c>
      <c r="V10" s="42" t="str">
        <f t="shared" ref="V10:V23" si="5">IFERROR(RANK(N10,$N$10:$N$23,1),"")</f>
        <v/>
      </c>
      <c r="W10" s="34"/>
      <c r="X10" s="34"/>
      <c r="Y10" s="43" t="str">
        <f t="shared" ref="Y10:Y23" si="6">IFERROR($Y$2/M10,"")</f>
        <v/>
      </c>
      <c r="Z10" s="44" t="str">
        <f>IFERROR(M10*Y10,"")</f>
        <v/>
      </c>
      <c r="AA10" s="34"/>
      <c r="AB10" s="45">
        <v>1</v>
      </c>
      <c r="AC10" s="45" t="s">
        <v>67</v>
      </c>
      <c r="AD10" s="61" t="s">
        <v>67</v>
      </c>
      <c r="AE10" s="61" t="s">
        <v>67</v>
      </c>
      <c r="AF10"/>
      <c r="AG10"/>
      <c r="AH10" s="27">
        <v>55</v>
      </c>
      <c r="AI10" s="11">
        <v>39</v>
      </c>
      <c r="AJ10"/>
      <c r="AK10" s="11">
        <f>(VLOOKUP($B10,'Finish Times'!$A$10:$G$40,6,FALSE))</f>
        <v>0</v>
      </c>
      <c r="AL10"/>
      <c r="AM10"/>
    </row>
    <row r="11" spans="1:39" s="8" customFormat="1" ht="30" customHeight="1" x14ac:dyDescent="0.35">
      <c r="A11" s="65" t="s">
        <v>74</v>
      </c>
      <c r="B11" s="65" t="s">
        <v>75</v>
      </c>
      <c r="C11" s="65"/>
      <c r="D11" s="65"/>
      <c r="E11" s="66" t="s">
        <v>73</v>
      </c>
      <c r="F11" s="66">
        <v>1024</v>
      </c>
      <c r="G11" s="66">
        <v>170</v>
      </c>
      <c r="H11" s="11">
        <f t="shared" si="0"/>
        <v>185</v>
      </c>
      <c r="I11" s="14">
        <f t="shared" si="1"/>
        <v>0.93457943925233644</v>
      </c>
      <c r="J11" s="14" t="str">
        <f>IF(T11 ="n",1000/(900+H11),"")</f>
        <v/>
      </c>
      <c r="K11" s="27" t="str">
        <f>IF($AK11&gt;0,(VLOOKUP($B11,'Finish Times'!$A$10:$G$40,6,FALSE)),"")</f>
        <v/>
      </c>
      <c r="L11" s="11" t="str">
        <f>IF($AK11&gt;0,(VLOOKUP($B11,'Finish Times'!$A$10:$G$40,7,FALSE)),"")</f>
        <v/>
      </c>
      <c r="M11" s="12" t="str">
        <f t="shared" ref="M11:M16" si="7">IF(AK11&gt;0,(K11+L11/60)-A$3," ")</f>
        <v xml:space="preserve"> </v>
      </c>
      <c r="N11" s="12" t="str">
        <f t="shared" si="2"/>
        <v/>
      </c>
      <c r="O11" s="11" t="str">
        <f t="shared" si="2"/>
        <v/>
      </c>
      <c r="P11" s="29" t="str">
        <f t="shared" si="3"/>
        <v/>
      </c>
      <c r="Q11" s="62" t="s">
        <v>67</v>
      </c>
      <c r="R11" s="30" t="str">
        <f t="shared" si="4"/>
        <v/>
      </c>
      <c r="S11" s="60"/>
      <c r="T11" s="69" t="s">
        <v>7</v>
      </c>
      <c r="U11" s="42" t="str">
        <f t="shared" ref="U11:U23" si="8">IFERROR(IF(M11&gt;0,IF(T11="s",M11*I11,0)+IF(T11="n",M11*J11,0)," "),"")</f>
        <v/>
      </c>
      <c r="V11" s="42" t="str">
        <f t="shared" si="5"/>
        <v/>
      </c>
      <c r="W11" s="34"/>
      <c r="X11" s="34"/>
      <c r="Y11" s="43" t="str">
        <f t="shared" si="6"/>
        <v/>
      </c>
      <c r="Z11" s="44" t="str">
        <f t="shared" ref="Z11:Z23" si="9">IFERROR(M11*Y11,"")</f>
        <v/>
      </c>
      <c r="AA11" s="34"/>
      <c r="AB11" s="45">
        <v>2</v>
      </c>
      <c r="AC11" s="45" t="s">
        <v>67</v>
      </c>
      <c r="AD11" s="61" t="s">
        <v>67</v>
      </c>
      <c r="AE11" s="61" t="s">
        <v>67</v>
      </c>
      <c r="AF11"/>
      <c r="AG11"/>
      <c r="AH11" s="27">
        <v>56</v>
      </c>
      <c r="AI11" s="11">
        <v>22</v>
      </c>
      <c r="AJ11"/>
      <c r="AK11" s="11">
        <f>(VLOOKUP($B11,'Finish Times'!$A$10:$G$40,6,FALSE))</f>
        <v>0</v>
      </c>
      <c r="AL11"/>
      <c r="AM11"/>
    </row>
    <row r="12" spans="1:39" s="8" customFormat="1" ht="30" customHeight="1" x14ac:dyDescent="0.35">
      <c r="A12" s="65" t="s">
        <v>69</v>
      </c>
      <c r="B12" s="65" t="s">
        <v>62</v>
      </c>
      <c r="C12" s="65"/>
      <c r="D12" s="65"/>
      <c r="E12" s="66" t="s">
        <v>73</v>
      </c>
      <c r="F12" s="66">
        <v>1742</v>
      </c>
      <c r="G12" s="66">
        <v>170</v>
      </c>
      <c r="H12" s="11">
        <f t="shared" si="0"/>
        <v>185</v>
      </c>
      <c r="I12" s="14">
        <f t="shared" si="1"/>
        <v>0.93457943925233644</v>
      </c>
      <c r="J12" s="14" t="str">
        <f>IF(T12 ="n",1000/(900+H12),"")</f>
        <v/>
      </c>
      <c r="K12" s="27">
        <f>IF($AK12&gt;0,(VLOOKUP($B12,'Finish Times'!$A$10:$G$40,6,FALSE)),"")</f>
        <v>62</v>
      </c>
      <c r="L12" s="11">
        <f>IF($AK12&gt;0,(VLOOKUP($B12,'Finish Times'!$A$10:$G$40,7,FALSE)),"")</f>
        <v>55</v>
      </c>
      <c r="M12" s="12">
        <f t="shared" si="7"/>
        <v>62.916666666666664</v>
      </c>
      <c r="N12" s="12">
        <f t="shared" si="2"/>
        <v>58.800623052959502</v>
      </c>
      <c r="O12" s="11">
        <f t="shared" si="2"/>
        <v>2</v>
      </c>
      <c r="P12" s="29">
        <f t="shared" si="3"/>
        <v>4.5482866043613726</v>
      </c>
      <c r="Q12" s="62">
        <v>4.5482866043613726</v>
      </c>
      <c r="R12" s="30">
        <f t="shared" si="4"/>
        <v>260</v>
      </c>
      <c r="S12" s="60"/>
      <c r="T12" s="69" t="s">
        <v>7</v>
      </c>
      <c r="U12" s="42">
        <f t="shared" si="8"/>
        <v>58.800623052959502</v>
      </c>
      <c r="V12" s="42">
        <f t="shared" si="5"/>
        <v>2</v>
      </c>
      <c r="W12" s="34"/>
      <c r="X12" s="34"/>
      <c r="Y12" s="43">
        <f t="shared" si="6"/>
        <v>0.86228879123599678</v>
      </c>
      <c r="Z12" s="44">
        <f t="shared" si="9"/>
        <v>54.252336448598129</v>
      </c>
      <c r="AA12" s="34"/>
      <c r="AB12" s="45">
        <v>3</v>
      </c>
      <c r="AC12" s="45">
        <v>2</v>
      </c>
      <c r="AD12" s="61">
        <v>4.5482866043613726</v>
      </c>
      <c r="AE12" s="61">
        <v>4.5482866043613726</v>
      </c>
      <c r="AF12"/>
      <c r="AG12"/>
      <c r="AH12" s="27">
        <v>54</v>
      </c>
      <c r="AI12" s="11">
        <v>9</v>
      </c>
      <c r="AJ12"/>
      <c r="AK12" s="11">
        <f>(VLOOKUP($B12,'Finish Times'!$A$10:$G$40,6,FALSE))</f>
        <v>62</v>
      </c>
      <c r="AL12"/>
      <c r="AM12"/>
    </row>
    <row r="13" spans="1:39" s="8" customFormat="1" ht="30" customHeight="1" x14ac:dyDescent="0.35">
      <c r="A13" s="65" t="s">
        <v>70</v>
      </c>
      <c r="B13" s="65" t="s">
        <v>65</v>
      </c>
      <c r="C13" s="65"/>
      <c r="D13" s="65"/>
      <c r="E13" s="66" t="s">
        <v>73</v>
      </c>
      <c r="F13" s="66">
        <v>3511</v>
      </c>
      <c r="G13" s="66">
        <v>170</v>
      </c>
      <c r="H13" s="11">
        <f t="shared" si="0"/>
        <v>185</v>
      </c>
      <c r="I13" s="14">
        <f t="shared" si="1"/>
        <v>0.93457943925233644</v>
      </c>
      <c r="J13" s="14" t="str">
        <f>IF(T13 ="n",1000/(900+H13),"")</f>
        <v/>
      </c>
      <c r="K13" s="27">
        <f>IF($AK13&gt;0,(VLOOKUP($B13,'Finish Times'!$A$10:$G$40,6,FALSE)),"")</f>
        <v>58</v>
      </c>
      <c r="L13" s="11">
        <f>IF($AK13&gt;0,(VLOOKUP($B13,'Finish Times'!$A$10:$G$40,7,FALSE)),"")</f>
        <v>3</v>
      </c>
      <c r="M13" s="12">
        <f t="shared" si="7"/>
        <v>58.05</v>
      </c>
      <c r="N13" s="12">
        <f t="shared" si="2"/>
        <v>54.252336448598129</v>
      </c>
      <c r="O13" s="11">
        <f t="shared" si="2"/>
        <v>1</v>
      </c>
      <c r="P13" s="29">
        <f t="shared" si="3"/>
        <v>0</v>
      </c>
      <c r="Q13" s="62"/>
      <c r="R13" s="30">
        <f t="shared" si="4"/>
        <v>170</v>
      </c>
      <c r="S13" s="60"/>
      <c r="T13" s="69" t="s">
        <v>7</v>
      </c>
      <c r="U13" s="42">
        <f t="shared" si="8"/>
        <v>54.252336448598129</v>
      </c>
      <c r="V13" s="42">
        <f t="shared" si="5"/>
        <v>1</v>
      </c>
      <c r="W13" s="34"/>
      <c r="X13" s="34"/>
      <c r="Y13" s="43">
        <f t="shared" si="6"/>
        <v>0.93457943925233644</v>
      </c>
      <c r="Z13" s="44">
        <f t="shared" si="9"/>
        <v>54.252336448598129</v>
      </c>
      <c r="AA13" s="34"/>
      <c r="AB13" s="45">
        <v>4</v>
      </c>
      <c r="AC13" s="45">
        <v>1</v>
      </c>
      <c r="AD13" s="61">
        <v>0</v>
      </c>
      <c r="AE13" s="61"/>
      <c r="AF13"/>
      <c r="AG13"/>
      <c r="AH13" s="27">
        <v>62</v>
      </c>
      <c r="AI13" s="11">
        <v>59</v>
      </c>
      <c r="AJ13"/>
      <c r="AK13" s="11">
        <f>(VLOOKUP($B13,'Finish Times'!$A$10:$G$40,6,FALSE))</f>
        <v>58</v>
      </c>
      <c r="AL13"/>
      <c r="AM13"/>
    </row>
    <row r="14" spans="1:39" s="8" customFormat="1" ht="30" customHeight="1" x14ac:dyDescent="0.35">
      <c r="A14" s="65" t="s">
        <v>76</v>
      </c>
      <c r="B14" s="65" t="s">
        <v>77</v>
      </c>
      <c r="C14" s="65"/>
      <c r="D14" s="65"/>
      <c r="E14" s="66" t="s">
        <v>73</v>
      </c>
      <c r="F14" s="66">
        <v>1248</v>
      </c>
      <c r="G14" s="66">
        <v>170</v>
      </c>
      <c r="H14" s="11">
        <f t="shared" si="0"/>
        <v>185</v>
      </c>
      <c r="I14" s="14">
        <f t="shared" si="1"/>
        <v>0.93457943925233644</v>
      </c>
      <c r="J14" s="14" t="str">
        <f t="shared" ref="J14:J16" si="10">IF(T14 ="n",1000/(900+H14),"")</f>
        <v/>
      </c>
      <c r="K14" s="27" t="str">
        <f>IF($AK14&gt;0,(VLOOKUP($B14,'Finish Times'!$A$10:$G$40,6,FALSE)),"")</f>
        <v/>
      </c>
      <c r="L14" s="11" t="str">
        <f>IF($AK14&gt;0,(VLOOKUP($B14,'Finish Times'!$A$10:$G$40,7,FALSE)),"")</f>
        <v/>
      </c>
      <c r="M14" s="12" t="str">
        <f t="shared" si="7"/>
        <v xml:space="preserve"> </v>
      </c>
      <c r="N14" s="12" t="str">
        <f t="shared" si="2"/>
        <v/>
      </c>
      <c r="O14" s="11" t="str">
        <f t="shared" si="2"/>
        <v/>
      </c>
      <c r="P14" s="29" t="str">
        <f t="shared" si="3"/>
        <v/>
      </c>
      <c r="Q14" s="62" t="s">
        <v>67</v>
      </c>
      <c r="R14" s="30" t="str">
        <f t="shared" si="4"/>
        <v/>
      </c>
      <c r="S14" s="60"/>
      <c r="T14" s="69" t="s">
        <v>7</v>
      </c>
      <c r="U14" s="42" t="str">
        <f t="shared" si="8"/>
        <v/>
      </c>
      <c r="V14" s="42" t="str">
        <f t="shared" si="5"/>
        <v/>
      </c>
      <c r="W14" s="34"/>
      <c r="X14" s="34"/>
      <c r="Y14" s="43" t="str">
        <f t="shared" si="6"/>
        <v/>
      </c>
      <c r="Z14" s="44" t="str">
        <f t="shared" si="9"/>
        <v/>
      </c>
      <c r="AA14" s="34"/>
      <c r="AB14" s="45">
        <v>5</v>
      </c>
      <c r="AC14" s="45" t="s">
        <v>67</v>
      </c>
      <c r="AD14" s="61" t="s">
        <v>67</v>
      </c>
      <c r="AE14" s="61" t="s">
        <v>67</v>
      </c>
      <c r="AF14"/>
      <c r="AG14"/>
      <c r="AH14" s="27">
        <v>59</v>
      </c>
      <c r="AI14" s="11">
        <v>12</v>
      </c>
      <c r="AJ14"/>
      <c r="AK14" s="11">
        <f>(VLOOKUP($B14,'Finish Times'!$A$10:$G$40,6,FALSE))</f>
        <v>0</v>
      </c>
      <c r="AL14"/>
      <c r="AM14"/>
    </row>
    <row r="15" spans="1:39" s="8" customFormat="1" ht="30" customHeight="1" x14ac:dyDescent="0.35">
      <c r="A15" s="65" t="s">
        <v>71</v>
      </c>
      <c r="B15" s="67" t="s">
        <v>63</v>
      </c>
      <c r="C15" s="65"/>
      <c r="D15" s="65"/>
      <c r="E15" s="66" t="s">
        <v>64</v>
      </c>
      <c r="F15" s="66">
        <v>826</v>
      </c>
      <c r="G15" s="66">
        <v>177</v>
      </c>
      <c r="H15" s="11">
        <f t="shared" si="0"/>
        <v>192</v>
      </c>
      <c r="I15" s="14">
        <f t="shared" si="1"/>
        <v>0.92850510677808729</v>
      </c>
      <c r="J15" s="14" t="str">
        <f t="shared" si="10"/>
        <v/>
      </c>
      <c r="K15" s="27">
        <f>IF($AK15&gt;0,(VLOOKUP($B15,'Finish Times'!$A$10:$G$40,6,FALSE)),"")</f>
        <v>65</v>
      </c>
      <c r="L15" s="11">
        <f>IF($AK15&gt;0,(VLOOKUP($B15,'Finish Times'!$A$10:$G$40,7,FALSE)),"")</f>
        <v>20</v>
      </c>
      <c r="M15" s="12">
        <f t="shared" si="7"/>
        <v>65.333333333333329</v>
      </c>
      <c r="N15" s="12">
        <f t="shared" si="2"/>
        <v>60.66233364283503</v>
      </c>
      <c r="O15" s="11">
        <f t="shared" si="2"/>
        <v>3</v>
      </c>
      <c r="P15" s="29">
        <f t="shared" si="3"/>
        <v>6.409997194236901</v>
      </c>
      <c r="Q15" s="62">
        <v>1.8617105898755284</v>
      </c>
      <c r="R15" s="30">
        <f t="shared" si="4"/>
        <v>304</v>
      </c>
      <c r="S15" s="60"/>
      <c r="T15" s="69" t="s">
        <v>7</v>
      </c>
      <c r="U15" s="42">
        <f t="shared" si="8"/>
        <v>60.66233364283503</v>
      </c>
      <c r="V15" s="42">
        <f t="shared" si="5"/>
        <v>3</v>
      </c>
      <c r="W15" s="34"/>
      <c r="X15" s="34"/>
      <c r="Y15" s="43">
        <f t="shared" si="6"/>
        <v>0.83039290482548167</v>
      </c>
      <c r="Z15" s="44">
        <f t="shared" si="9"/>
        <v>54.252336448598129</v>
      </c>
      <c r="AA15" s="34"/>
      <c r="AB15" s="45">
        <v>6</v>
      </c>
      <c r="AC15" s="45">
        <v>3</v>
      </c>
      <c r="AD15" s="61">
        <v>6.409997194236901</v>
      </c>
      <c r="AE15" s="61">
        <v>1.8617105898755284</v>
      </c>
      <c r="AF15"/>
      <c r="AG15"/>
      <c r="AH15" s="27">
        <v>56</v>
      </c>
      <c r="AI15" s="11">
        <v>58</v>
      </c>
      <c r="AJ15"/>
      <c r="AK15" s="11">
        <f>(VLOOKUP($B15,'Finish Times'!$A$10:$G$40,6,FALSE))</f>
        <v>65</v>
      </c>
      <c r="AL15"/>
      <c r="AM15"/>
    </row>
    <row r="16" spans="1:39" s="8" customFormat="1" ht="30" customHeight="1" x14ac:dyDescent="0.35">
      <c r="A16" s="65" t="s">
        <v>80</v>
      </c>
      <c r="B16" s="65" t="s">
        <v>137</v>
      </c>
      <c r="C16" s="65"/>
      <c r="D16" s="65"/>
      <c r="E16" s="66" t="s">
        <v>81</v>
      </c>
      <c r="F16" s="66">
        <v>119</v>
      </c>
      <c r="G16" s="66">
        <v>107</v>
      </c>
      <c r="H16" s="11">
        <f t="shared" si="0"/>
        <v>122</v>
      </c>
      <c r="I16" s="14">
        <f t="shared" si="1"/>
        <v>0.99304865938430986</v>
      </c>
      <c r="J16" s="14" t="str">
        <f t="shared" si="10"/>
        <v/>
      </c>
      <c r="K16" s="27" t="str">
        <f>IF($AK16&gt;0,(VLOOKUP($B16,'Finish Times'!$A$10:$G$40,6,FALSE)),"")</f>
        <v/>
      </c>
      <c r="L16" s="11" t="str">
        <f>IF($AK16&gt;0,(VLOOKUP($B16,'Finish Times'!$A$10:$G$40,7,FALSE)),"")</f>
        <v/>
      </c>
      <c r="M16" s="12" t="str">
        <f t="shared" si="7"/>
        <v xml:space="preserve"> </v>
      </c>
      <c r="N16" s="12" t="str">
        <f t="shared" si="2"/>
        <v/>
      </c>
      <c r="O16" s="11" t="str">
        <f t="shared" si="2"/>
        <v/>
      </c>
      <c r="P16" s="29" t="str">
        <f t="shared" si="3"/>
        <v/>
      </c>
      <c r="Q16" s="62" t="s">
        <v>67</v>
      </c>
      <c r="R16" s="30" t="str">
        <f t="shared" si="4"/>
        <v/>
      </c>
      <c r="S16" s="60"/>
      <c r="T16" s="69" t="s">
        <v>7</v>
      </c>
      <c r="U16" s="42" t="str">
        <f t="shared" si="8"/>
        <v/>
      </c>
      <c r="V16" s="42" t="str">
        <f t="shared" si="5"/>
        <v/>
      </c>
      <c r="W16" s="34"/>
      <c r="X16" s="34"/>
      <c r="Y16" s="43" t="str">
        <f t="shared" si="6"/>
        <v/>
      </c>
      <c r="Z16" s="44" t="str">
        <f t="shared" si="9"/>
        <v/>
      </c>
      <c r="AA16" s="34"/>
      <c r="AB16" s="45">
        <v>8</v>
      </c>
      <c r="AC16" s="45" t="s">
        <v>67</v>
      </c>
      <c r="AD16" s="61" t="s">
        <v>67</v>
      </c>
      <c r="AE16" s="61" t="s">
        <v>67</v>
      </c>
      <c r="AF16"/>
      <c r="AG16"/>
      <c r="AH16"/>
      <c r="AI16"/>
      <c r="AJ16"/>
      <c r="AK16" s="11">
        <f>(VLOOKUP($B16,'Finish Times'!$A$10:$G$40,6,FALSE))</f>
        <v>0</v>
      </c>
      <c r="AL16"/>
      <c r="AM16"/>
    </row>
    <row r="17" spans="1:39" s="8" customFormat="1" ht="30" customHeight="1" x14ac:dyDescent="0.35">
      <c r="A17" s="65"/>
      <c r="B17" s="65"/>
      <c r="C17" s="65"/>
      <c r="D17" s="65"/>
      <c r="E17" s="66"/>
      <c r="F17" s="66"/>
      <c r="G17" s="66"/>
      <c r="H17" s="11"/>
      <c r="I17" s="14"/>
      <c r="J17" s="14" t="str">
        <f t="shared" ref="J17" si="11">IF(T17 ="n",1000/(900+H17),"")</f>
        <v/>
      </c>
      <c r="K17" s="27"/>
      <c r="L17" s="11"/>
      <c r="M17" s="12"/>
      <c r="N17" s="12" t="str">
        <f t="shared" si="2"/>
        <v xml:space="preserve"> </v>
      </c>
      <c r="O17" s="11" t="str">
        <f t="shared" si="2"/>
        <v/>
      </c>
      <c r="P17" s="29" t="str">
        <f t="shared" si="3"/>
        <v/>
      </c>
      <c r="Q17" s="62" t="s">
        <v>67</v>
      </c>
      <c r="R17" s="30" t="str">
        <f t="shared" si="4"/>
        <v/>
      </c>
      <c r="S17" s="60"/>
      <c r="T17" s="69" t="s">
        <v>7</v>
      </c>
      <c r="U17" s="42" t="str">
        <f t="shared" si="8"/>
        <v xml:space="preserve"> </v>
      </c>
      <c r="V17" s="42" t="str">
        <f t="shared" si="5"/>
        <v/>
      </c>
      <c r="W17" s="34"/>
      <c r="X17" s="34"/>
      <c r="Y17" s="43" t="str">
        <f t="shared" si="6"/>
        <v/>
      </c>
      <c r="Z17" s="44" t="str">
        <f t="shared" si="9"/>
        <v/>
      </c>
      <c r="AA17" s="34"/>
      <c r="AB17" s="45">
        <v>9</v>
      </c>
      <c r="AC17" s="45" t="s">
        <v>67</v>
      </c>
      <c r="AD17" s="61" t="s">
        <v>67</v>
      </c>
      <c r="AE17" s="61" t="s">
        <v>67</v>
      </c>
      <c r="AF17"/>
      <c r="AG17"/>
      <c r="AH17"/>
      <c r="AI17"/>
      <c r="AJ17"/>
      <c r="AK17" s="11" t="e">
        <f>(VLOOKUP($B17,'Finish Times'!$A$10:$G$40,6,FALSE))</f>
        <v>#N/A</v>
      </c>
      <c r="AL17"/>
      <c r="AM17"/>
    </row>
    <row r="18" spans="1:39" s="8" customFormat="1" ht="30" customHeight="1" x14ac:dyDescent="0.35">
      <c r="A18" s="65"/>
      <c r="B18" s="65"/>
      <c r="C18" s="65"/>
      <c r="D18" s="65"/>
      <c r="E18" s="67"/>
      <c r="F18" s="66"/>
      <c r="G18" s="66"/>
      <c r="H18" s="11"/>
      <c r="I18" s="14"/>
      <c r="J18" s="14"/>
      <c r="K18" s="13"/>
      <c r="L18" s="11"/>
      <c r="M18" s="12" t="str">
        <f t="shared" ref="M18:M19" si="12">IF(K18&gt;0,(K18+L18/60)-A$3," ")</f>
        <v xml:space="preserve"> </v>
      </c>
      <c r="N18" s="12" t="str">
        <f t="shared" ref="N18:N19" si="13">IFERROR(U18," ")</f>
        <v/>
      </c>
      <c r="O18" s="11" t="str">
        <f t="shared" ref="O18:O19" si="14">IFERROR(V18," ")</f>
        <v/>
      </c>
      <c r="P18" s="29" t="str">
        <f t="shared" ref="P18:P19" si="15">IFERROR(N18-$Y$2,"")</f>
        <v/>
      </c>
      <c r="Q18" s="62" t="s">
        <v>67</v>
      </c>
      <c r="R18" s="30" t="str">
        <f t="shared" ref="R18:R19" si="16">IFERROR(ROUND((1000/Y18)-900,0),"")</f>
        <v/>
      </c>
      <c r="S18" s="60"/>
      <c r="T18" s="69" t="s">
        <v>6</v>
      </c>
      <c r="U18" s="42" t="str">
        <f t="shared" si="8"/>
        <v/>
      </c>
      <c r="V18" s="42" t="str">
        <f t="shared" si="5"/>
        <v/>
      </c>
      <c r="W18" s="34"/>
      <c r="X18" s="34"/>
      <c r="Y18" s="43" t="str">
        <f t="shared" si="6"/>
        <v/>
      </c>
      <c r="Z18" s="44" t="str">
        <f t="shared" si="9"/>
        <v/>
      </c>
      <c r="AA18" s="34"/>
      <c r="AB18" s="45">
        <v>10</v>
      </c>
      <c r="AC18" s="45" t="s">
        <v>67</v>
      </c>
      <c r="AD18" s="61" t="s">
        <v>67</v>
      </c>
      <c r="AE18" s="61" t="s">
        <v>67</v>
      </c>
      <c r="AF18"/>
      <c r="AG18"/>
      <c r="AH18"/>
      <c r="AI18"/>
      <c r="AJ18"/>
      <c r="AK18"/>
      <c r="AL18"/>
      <c r="AM18"/>
    </row>
    <row r="19" spans="1:39" s="8" customFormat="1" ht="30" customHeight="1" x14ac:dyDescent="0.35">
      <c r="A19" s="65"/>
      <c r="B19" s="65"/>
      <c r="C19" s="65"/>
      <c r="D19" s="65"/>
      <c r="E19" s="67"/>
      <c r="F19" s="66"/>
      <c r="G19" s="66"/>
      <c r="H19" s="11"/>
      <c r="I19" s="14"/>
      <c r="J19" s="14"/>
      <c r="K19" s="13"/>
      <c r="L19" s="11"/>
      <c r="M19" s="12" t="str">
        <f t="shared" si="12"/>
        <v xml:space="preserve"> </v>
      </c>
      <c r="N19" s="12" t="str">
        <f t="shared" si="13"/>
        <v/>
      </c>
      <c r="O19" s="11" t="str">
        <f t="shared" si="14"/>
        <v/>
      </c>
      <c r="P19" s="29" t="str">
        <f t="shared" si="15"/>
        <v/>
      </c>
      <c r="Q19" s="62" t="s">
        <v>67</v>
      </c>
      <c r="R19" s="30" t="str">
        <f t="shared" si="16"/>
        <v/>
      </c>
      <c r="S19" s="60"/>
      <c r="T19" s="69" t="s">
        <v>6</v>
      </c>
      <c r="U19" s="42" t="str">
        <f t="shared" si="8"/>
        <v/>
      </c>
      <c r="V19" s="42" t="str">
        <f t="shared" si="5"/>
        <v/>
      </c>
      <c r="W19" s="34"/>
      <c r="X19" s="34"/>
      <c r="Y19" s="43" t="str">
        <f t="shared" si="6"/>
        <v/>
      </c>
      <c r="Z19" s="44" t="str">
        <f t="shared" si="9"/>
        <v/>
      </c>
      <c r="AA19" s="34"/>
      <c r="AB19" s="45">
        <v>11</v>
      </c>
      <c r="AC19" s="46" t="s">
        <v>67</v>
      </c>
      <c r="AD19" s="63" t="s">
        <v>67</v>
      </c>
      <c r="AE19" s="61" t="s">
        <v>67</v>
      </c>
    </row>
    <row r="20" spans="1:39" s="8" customFormat="1" ht="30" customHeight="1" x14ac:dyDescent="0.35">
      <c r="A20" s="65"/>
      <c r="B20" s="65"/>
      <c r="C20" s="65"/>
      <c r="D20" s="65"/>
      <c r="E20" s="67"/>
      <c r="F20" s="66"/>
      <c r="G20" s="66"/>
      <c r="H20" s="11"/>
      <c r="I20" s="14"/>
      <c r="J20" s="14"/>
      <c r="K20" s="13"/>
      <c r="L20" s="11"/>
      <c r="M20" s="12"/>
      <c r="N20" s="12"/>
      <c r="O20" s="11"/>
      <c r="P20" s="29"/>
      <c r="Q20" s="62" t="s">
        <v>67</v>
      </c>
      <c r="R20" s="30"/>
      <c r="S20" s="60"/>
      <c r="T20" s="69" t="s">
        <v>6</v>
      </c>
      <c r="U20" s="42" t="str">
        <f t="shared" si="8"/>
        <v xml:space="preserve"> </v>
      </c>
      <c r="V20" s="42" t="str">
        <f t="shared" si="5"/>
        <v/>
      </c>
      <c r="W20" s="34"/>
      <c r="X20" s="34"/>
      <c r="Y20" s="43" t="str">
        <f t="shared" si="6"/>
        <v/>
      </c>
      <c r="Z20" s="44" t="str">
        <f t="shared" si="9"/>
        <v/>
      </c>
      <c r="AA20" s="34"/>
      <c r="AB20" s="45">
        <v>12</v>
      </c>
      <c r="AC20" s="46"/>
      <c r="AD20" s="63"/>
      <c r="AE20" s="61" t="s">
        <v>67</v>
      </c>
    </row>
    <row r="21" spans="1:39" s="8" customFormat="1" ht="30" customHeight="1" x14ac:dyDescent="0.35">
      <c r="A21" s="65"/>
      <c r="B21" s="65"/>
      <c r="C21" s="65"/>
      <c r="D21" s="65"/>
      <c r="E21" s="67"/>
      <c r="F21" s="66"/>
      <c r="G21" s="66"/>
      <c r="H21" s="11"/>
      <c r="I21" s="14"/>
      <c r="J21" s="14"/>
      <c r="K21" s="13"/>
      <c r="L21" s="11"/>
      <c r="M21" s="12" t="str">
        <f t="shared" ref="M21:M23" si="17">IF(K21&gt;0,(K21+L21/60)-A$3," ")</f>
        <v xml:space="preserve"> </v>
      </c>
      <c r="N21" s="12" t="str">
        <f t="shared" si="2"/>
        <v/>
      </c>
      <c r="O21" s="11" t="str">
        <f t="shared" si="2"/>
        <v/>
      </c>
      <c r="P21" s="29" t="str">
        <f t="shared" si="3"/>
        <v/>
      </c>
      <c r="Q21" s="62" t="s">
        <v>67</v>
      </c>
      <c r="R21" s="30" t="str">
        <f t="shared" si="4"/>
        <v/>
      </c>
      <c r="S21" s="60"/>
      <c r="T21" s="69" t="s">
        <v>6</v>
      </c>
      <c r="U21" s="42" t="str">
        <f t="shared" si="8"/>
        <v/>
      </c>
      <c r="V21" s="42" t="str">
        <f t="shared" si="5"/>
        <v/>
      </c>
      <c r="W21" s="34"/>
      <c r="X21" s="34"/>
      <c r="Y21" s="43" t="str">
        <f t="shared" si="6"/>
        <v/>
      </c>
      <c r="Z21" s="44" t="str">
        <f t="shared" si="9"/>
        <v/>
      </c>
      <c r="AA21" s="34"/>
      <c r="AB21" s="45">
        <v>13</v>
      </c>
      <c r="AC21" s="46" t="s">
        <v>67</v>
      </c>
      <c r="AD21" s="63" t="s">
        <v>67</v>
      </c>
      <c r="AE21" s="61" t="s">
        <v>67</v>
      </c>
    </row>
    <row r="22" spans="1:39" s="8" customFormat="1" ht="30" customHeight="1" x14ac:dyDescent="0.35">
      <c r="A22" s="65"/>
      <c r="B22" s="65"/>
      <c r="C22" s="65"/>
      <c r="D22" s="65"/>
      <c r="E22" s="67"/>
      <c r="F22" s="66"/>
      <c r="G22" s="66"/>
      <c r="H22" s="11"/>
      <c r="I22" s="14"/>
      <c r="J22" s="14"/>
      <c r="K22" s="13"/>
      <c r="L22" s="11"/>
      <c r="M22" s="12" t="str">
        <f t="shared" si="17"/>
        <v xml:space="preserve"> </v>
      </c>
      <c r="N22" s="12" t="str">
        <f t="shared" si="2"/>
        <v/>
      </c>
      <c r="O22" s="11" t="str">
        <f t="shared" si="2"/>
        <v/>
      </c>
      <c r="P22" s="29" t="str">
        <f t="shared" si="3"/>
        <v/>
      </c>
      <c r="Q22" s="62" t="s">
        <v>67</v>
      </c>
      <c r="R22" s="30" t="str">
        <f t="shared" si="4"/>
        <v/>
      </c>
      <c r="S22" s="60"/>
      <c r="T22" s="69" t="s">
        <v>6</v>
      </c>
      <c r="U22" s="42" t="str">
        <f t="shared" si="8"/>
        <v/>
      </c>
      <c r="V22" s="42" t="str">
        <f t="shared" si="5"/>
        <v/>
      </c>
      <c r="W22" s="34"/>
      <c r="X22" s="34"/>
      <c r="Y22" s="43" t="str">
        <f t="shared" si="6"/>
        <v/>
      </c>
      <c r="Z22" s="44" t="str">
        <f t="shared" si="9"/>
        <v/>
      </c>
      <c r="AA22" s="34"/>
      <c r="AB22" s="45">
        <v>14</v>
      </c>
      <c r="AC22" s="46" t="s">
        <v>67</v>
      </c>
      <c r="AD22" s="63" t="s">
        <v>67</v>
      </c>
      <c r="AE22" s="61" t="s">
        <v>67</v>
      </c>
    </row>
    <row r="23" spans="1:39" s="8" customFormat="1" ht="30" customHeight="1" x14ac:dyDescent="0.35">
      <c r="A23" s="65"/>
      <c r="B23" s="65"/>
      <c r="C23" s="65"/>
      <c r="D23" s="65"/>
      <c r="E23" s="67"/>
      <c r="F23" s="66"/>
      <c r="G23" s="66"/>
      <c r="H23" s="11"/>
      <c r="I23" s="14"/>
      <c r="J23" s="14"/>
      <c r="K23" s="13"/>
      <c r="L23" s="11"/>
      <c r="M23" s="12" t="str">
        <f t="shared" si="17"/>
        <v xml:space="preserve"> </v>
      </c>
      <c r="N23" s="12" t="str">
        <f t="shared" si="2"/>
        <v/>
      </c>
      <c r="O23" s="11" t="str">
        <f t="shared" si="2"/>
        <v/>
      </c>
      <c r="P23" s="29" t="str">
        <f t="shared" si="3"/>
        <v/>
      </c>
      <c r="Q23" s="62" t="s">
        <v>67</v>
      </c>
      <c r="R23" s="30" t="str">
        <f t="shared" si="4"/>
        <v/>
      </c>
      <c r="S23" s="60"/>
      <c r="T23" s="69" t="s">
        <v>6</v>
      </c>
      <c r="U23" s="42" t="str">
        <f t="shared" si="8"/>
        <v/>
      </c>
      <c r="V23" s="42" t="str">
        <f t="shared" si="5"/>
        <v/>
      </c>
      <c r="W23" s="34"/>
      <c r="X23" s="34"/>
      <c r="Y23" s="43" t="str">
        <f t="shared" si="6"/>
        <v/>
      </c>
      <c r="Z23" s="44" t="str">
        <f t="shared" si="9"/>
        <v/>
      </c>
      <c r="AA23" s="34"/>
      <c r="AB23" s="45">
        <v>15</v>
      </c>
      <c r="AC23" s="46" t="s">
        <v>67</v>
      </c>
      <c r="AD23" s="63" t="s">
        <v>67</v>
      </c>
      <c r="AE23" s="61" t="s">
        <v>67</v>
      </c>
    </row>
    <row r="24" spans="1:39" s="8" customFormat="1" ht="31.2" x14ac:dyDescent="0.6">
      <c r="A24" s="10" t="s">
        <v>5</v>
      </c>
      <c r="B24" s="10"/>
      <c r="C24" s="10"/>
      <c r="D24" s="10"/>
      <c r="E24" s="10"/>
      <c r="F24" s="10"/>
      <c r="G24" s="10"/>
      <c r="H24" s="10"/>
      <c r="I24" s="10"/>
      <c r="J24" s="10"/>
      <c r="K24" s="6"/>
      <c r="L24" s="6"/>
      <c r="M24" s="7"/>
      <c r="N24" s="9" t="s">
        <v>83</v>
      </c>
      <c r="Q24" s="62">
        <v>0</v>
      </c>
      <c r="AB24" s="45">
        <v>16</v>
      </c>
      <c r="AE24" s="61">
        <v>0</v>
      </c>
    </row>
    <row r="25" spans="1:39" ht="18" x14ac:dyDescent="0.35">
      <c r="A25" s="6" t="s">
        <v>4</v>
      </c>
      <c r="B25" s="6"/>
      <c r="C25" s="6"/>
      <c r="D25" s="6"/>
      <c r="E25" s="6"/>
      <c r="F25" s="6"/>
      <c r="G25" s="6"/>
      <c r="H25" s="6"/>
      <c r="I25" s="6"/>
      <c r="J25" s="6"/>
      <c r="K25" s="6"/>
      <c r="L25" s="6"/>
      <c r="M25" s="7"/>
      <c r="N25" s="7"/>
      <c r="O25" s="5"/>
      <c r="Q25" s="62">
        <v>0</v>
      </c>
      <c r="Y25" s="20"/>
      <c r="AB25" s="45">
        <v>17</v>
      </c>
      <c r="AE25" s="61">
        <v>0</v>
      </c>
    </row>
    <row r="26" spans="1:39" ht="18" x14ac:dyDescent="0.35">
      <c r="A26" s="6" t="s">
        <v>3</v>
      </c>
      <c r="B26" s="6"/>
      <c r="C26" s="6"/>
      <c r="D26" s="6"/>
      <c r="E26" s="6"/>
      <c r="F26" s="6"/>
      <c r="G26" s="6"/>
      <c r="H26" s="6"/>
      <c r="I26" s="6"/>
      <c r="J26" s="6"/>
      <c r="K26" s="6"/>
      <c r="L26" s="6"/>
      <c r="M26" s="5"/>
      <c r="N26" s="5"/>
      <c r="O26" s="5"/>
      <c r="Q26" s="62">
        <v>0</v>
      </c>
      <c r="AB26" s="45">
        <v>18</v>
      </c>
      <c r="AE26" s="61">
        <v>0</v>
      </c>
    </row>
    <row r="27" spans="1:39" ht="18" x14ac:dyDescent="0.35">
      <c r="A27" s="6" t="s">
        <v>2</v>
      </c>
      <c r="B27" s="6"/>
      <c r="C27" s="6"/>
      <c r="D27" s="6"/>
      <c r="E27" s="6"/>
      <c r="F27" s="6"/>
      <c r="G27" s="6"/>
      <c r="H27" s="6"/>
      <c r="I27" s="6"/>
      <c r="J27" s="6"/>
      <c r="K27" s="6"/>
      <c r="L27" s="6"/>
      <c r="M27" s="5"/>
      <c r="N27" s="5"/>
      <c r="O27" s="5"/>
      <c r="Q27" s="62">
        <v>0</v>
      </c>
      <c r="AB27" s="45">
        <v>19</v>
      </c>
      <c r="AE27" s="61">
        <v>0</v>
      </c>
    </row>
    <row r="28" spans="1:39" ht="18" x14ac:dyDescent="0.35">
      <c r="Q28" s="62">
        <v>0</v>
      </c>
      <c r="AE28" s="61">
        <v>0</v>
      </c>
    </row>
    <row r="29" spans="1:39" ht="30" customHeight="1" x14ac:dyDescent="1.1000000000000001">
      <c r="A29" s="4" t="s">
        <v>83</v>
      </c>
      <c r="B29" s="4"/>
      <c r="C29" s="4"/>
      <c r="D29" s="4"/>
      <c r="E29" s="4"/>
      <c r="F29" s="4"/>
      <c r="G29" s="4"/>
      <c r="H29" s="4"/>
      <c r="I29" s="4"/>
      <c r="J29" s="4"/>
      <c r="K29" s="4"/>
      <c r="L29" s="4"/>
      <c r="M29" s="4" t="s">
        <v>0</v>
      </c>
      <c r="N29" s="3"/>
      <c r="O29" s="2"/>
    </row>
  </sheetData>
  <sortState ref="AB10:AE28">
    <sortCondition ref="AB10:AB28"/>
  </sortState>
  <mergeCells count="7">
    <mergeCell ref="A5:O5"/>
    <mergeCell ref="A6:O6"/>
    <mergeCell ref="A7:O7"/>
    <mergeCell ref="T7:V7"/>
    <mergeCell ref="G8:H8"/>
    <mergeCell ref="I8:J8"/>
    <mergeCell ref="K8:L8"/>
  </mergeCells>
  <printOptions horizontalCentered="1" verticalCentered="1"/>
  <pageMargins left="0.2" right="0.2" top="0.75" bottom="0.5" header="0.3" footer="0.05"/>
  <pageSetup scale="7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M29"/>
  <sheetViews>
    <sheetView view="pageBreakPreview" topLeftCell="A6" zoomScale="60" zoomScaleNormal="27" workbookViewId="0">
      <selection activeCell="A7" sqref="A7:O7"/>
    </sheetView>
  </sheetViews>
  <sheetFormatPr defaultRowHeight="14.4" x14ac:dyDescent="0.3"/>
  <cols>
    <col min="1" max="1" width="15.6640625" customWidth="1"/>
    <col min="2" max="2" width="16.5546875" customWidth="1"/>
    <col min="3" max="3" width="9.33203125" customWidth="1"/>
    <col min="4" max="4" width="9.6640625" customWidth="1"/>
    <col min="5" max="5" width="18.44140625" customWidth="1"/>
    <col min="6" max="7" width="8.6640625" customWidth="1"/>
    <col min="8" max="8" width="10.6640625" customWidth="1"/>
    <col min="9" max="9" width="9.109375" bestFit="1" customWidth="1"/>
    <col min="10" max="10" width="10.6640625" customWidth="1"/>
    <col min="11" max="12" width="8.6640625" customWidth="1"/>
    <col min="13" max="13" width="10.109375" customWidth="1"/>
    <col min="14" max="14" width="9.44140625" customWidth="1"/>
    <col min="15" max="15" width="8.6640625" style="1" customWidth="1"/>
    <col min="25" max="26" width="16" bestFit="1" customWidth="1"/>
    <col min="27" max="27" width="9.5546875" bestFit="1" customWidth="1"/>
    <col min="32" max="32" width="10.5546875" bestFit="1" customWidth="1"/>
  </cols>
  <sheetData>
    <row r="1" spans="1:39" x14ac:dyDescent="0.3">
      <c r="A1" s="47"/>
      <c r="B1" s="47"/>
      <c r="C1" s="47"/>
      <c r="D1" s="47"/>
      <c r="E1" s="47"/>
      <c r="F1" s="47"/>
      <c r="G1" s="47"/>
      <c r="H1" s="47"/>
      <c r="I1" s="47"/>
      <c r="J1" s="47"/>
      <c r="K1" s="47"/>
      <c r="L1" s="47"/>
      <c r="M1" s="47"/>
      <c r="N1" s="47"/>
      <c r="O1" s="50"/>
      <c r="P1" s="47"/>
      <c r="Q1" s="47"/>
      <c r="R1" s="47"/>
      <c r="S1" s="56"/>
      <c r="T1" s="31"/>
      <c r="U1" s="32"/>
      <c r="V1" s="32"/>
      <c r="W1" s="32"/>
      <c r="X1" s="32"/>
      <c r="Y1" s="34" t="s">
        <v>43</v>
      </c>
      <c r="Z1" s="32"/>
      <c r="AA1" s="32"/>
      <c r="AB1" s="32"/>
      <c r="AC1" s="32"/>
      <c r="AD1" s="32"/>
      <c r="AE1" s="52"/>
    </row>
    <row r="2" spans="1:39" x14ac:dyDescent="0.3">
      <c r="A2" s="47"/>
      <c r="B2" s="47"/>
      <c r="C2" s="47"/>
      <c r="D2" s="47"/>
      <c r="E2" s="47"/>
      <c r="F2" s="47"/>
      <c r="G2" s="47"/>
      <c r="H2" s="47"/>
      <c r="I2" s="47"/>
      <c r="J2" s="47"/>
      <c r="K2" s="47"/>
      <c r="L2" s="47"/>
      <c r="M2" s="47"/>
      <c r="N2" s="47"/>
      <c r="O2" s="50"/>
      <c r="P2" s="47"/>
      <c r="Q2" s="47"/>
      <c r="R2" s="47"/>
      <c r="S2" s="56"/>
      <c r="T2" s="31"/>
      <c r="U2" s="32"/>
      <c r="V2" s="32"/>
      <c r="W2" s="32"/>
      <c r="X2" s="32"/>
      <c r="Y2" s="41">
        <f>MIN(N10:N23)</f>
        <v>27.439212065250846</v>
      </c>
      <c r="Z2" s="32"/>
      <c r="AA2" s="32"/>
      <c r="AB2" s="32"/>
      <c r="AC2" s="32"/>
      <c r="AD2" s="32"/>
      <c r="AE2" s="52"/>
    </row>
    <row r="3" spans="1:39" ht="18" x14ac:dyDescent="0.35">
      <c r="A3" s="18">
        <v>5</v>
      </c>
      <c r="B3" s="51" t="s">
        <v>52</v>
      </c>
      <c r="C3" s="47"/>
      <c r="D3" s="47"/>
      <c r="E3" s="47"/>
      <c r="F3" s="47"/>
      <c r="G3" s="47"/>
      <c r="H3" s="47"/>
      <c r="I3" s="47"/>
      <c r="J3" s="47"/>
      <c r="K3" s="47"/>
      <c r="L3" s="47"/>
      <c r="M3" s="47"/>
      <c r="N3" s="47"/>
      <c r="O3" s="50"/>
      <c r="P3" s="47"/>
      <c r="Q3" s="47"/>
      <c r="R3" s="47"/>
      <c r="S3" s="56"/>
      <c r="T3" s="31"/>
      <c r="U3" s="32"/>
      <c r="V3" s="32"/>
      <c r="W3" s="32"/>
      <c r="X3" s="32"/>
      <c r="Y3" s="32"/>
      <c r="Z3" s="32"/>
      <c r="AA3" s="32"/>
      <c r="AB3" s="32"/>
      <c r="AC3" s="32"/>
      <c r="AD3" s="32"/>
      <c r="AE3" s="52"/>
    </row>
    <row r="4" spans="1:39" x14ac:dyDescent="0.3">
      <c r="A4" s="47"/>
      <c r="B4" s="47"/>
      <c r="C4" s="47"/>
      <c r="D4" s="47"/>
      <c r="E4" s="47"/>
      <c r="F4" s="47"/>
      <c r="G4" s="47"/>
      <c r="H4" s="47"/>
      <c r="I4" s="47"/>
      <c r="J4" s="47"/>
      <c r="K4" s="47"/>
      <c r="L4" s="47"/>
      <c r="M4" s="47"/>
      <c r="N4" s="47"/>
      <c r="O4" s="50"/>
      <c r="P4" s="47"/>
      <c r="Q4" s="47"/>
      <c r="R4" s="47"/>
      <c r="S4" s="56"/>
      <c r="T4" s="31"/>
      <c r="U4" s="32"/>
      <c r="V4" s="32"/>
      <c r="W4" s="32"/>
      <c r="X4" s="32"/>
      <c r="Y4" s="32"/>
      <c r="Z4" s="32"/>
      <c r="AA4" s="32"/>
      <c r="AB4" s="32"/>
      <c r="AC4" s="32"/>
      <c r="AD4" s="32"/>
      <c r="AE4" s="52"/>
    </row>
    <row r="5" spans="1:39" ht="31.2" x14ac:dyDescent="0.6">
      <c r="A5" s="94" t="s">
        <v>100</v>
      </c>
      <c r="B5" s="94"/>
      <c r="C5" s="94"/>
      <c r="D5" s="94"/>
      <c r="E5" s="94"/>
      <c r="F5" s="94"/>
      <c r="G5" s="94"/>
      <c r="H5" s="94"/>
      <c r="I5" s="94"/>
      <c r="J5" s="94"/>
      <c r="K5" s="94"/>
      <c r="L5" s="94"/>
      <c r="M5" s="94"/>
      <c r="N5" s="94"/>
      <c r="O5" s="94"/>
      <c r="P5" s="47"/>
      <c r="Q5" s="47"/>
      <c r="R5" s="47"/>
      <c r="S5" s="56"/>
      <c r="T5" s="33"/>
      <c r="U5" s="32"/>
      <c r="V5" s="32"/>
      <c r="W5" s="32"/>
      <c r="X5" s="32"/>
      <c r="Y5" s="32"/>
      <c r="Z5" s="32" t="s">
        <v>59</v>
      </c>
      <c r="AA5" s="32"/>
      <c r="AB5" s="32"/>
      <c r="AC5" s="32"/>
      <c r="AD5" s="32"/>
      <c r="AE5" s="52"/>
    </row>
    <row r="6" spans="1:39" s="8" customFormat="1" ht="18.600000000000001" thickBot="1" x14ac:dyDescent="0.4">
      <c r="A6" s="95" t="s">
        <v>167</v>
      </c>
      <c r="B6" s="95"/>
      <c r="C6" s="95"/>
      <c r="D6" s="95"/>
      <c r="E6" s="95"/>
      <c r="F6" s="95"/>
      <c r="G6" s="95"/>
      <c r="H6" s="95"/>
      <c r="I6" s="95"/>
      <c r="J6" s="95"/>
      <c r="K6" s="95"/>
      <c r="L6" s="95"/>
      <c r="M6" s="95"/>
      <c r="N6" s="95"/>
      <c r="O6" s="95"/>
      <c r="P6" s="48"/>
      <c r="Q6" s="48"/>
      <c r="R6" s="48"/>
      <c r="S6" s="57"/>
      <c r="T6" s="33"/>
      <c r="U6" s="34"/>
      <c r="V6" s="34"/>
      <c r="W6" s="34"/>
      <c r="X6" s="34"/>
      <c r="Y6" s="35" t="s">
        <v>58</v>
      </c>
      <c r="Z6" s="34" t="s">
        <v>60</v>
      </c>
      <c r="AA6" s="36"/>
      <c r="AB6" s="34"/>
      <c r="AC6" s="34"/>
      <c r="AD6" s="34"/>
      <c r="AE6" s="53"/>
    </row>
    <row r="7" spans="1:39" ht="18" customHeight="1" thickTop="1" x14ac:dyDescent="0.3">
      <c r="A7" s="96"/>
      <c r="B7" s="96"/>
      <c r="C7" s="96"/>
      <c r="D7" s="96"/>
      <c r="E7" s="96"/>
      <c r="F7" s="96"/>
      <c r="G7" s="96"/>
      <c r="H7" s="96"/>
      <c r="I7" s="96"/>
      <c r="J7" s="96"/>
      <c r="K7" s="96"/>
      <c r="L7" s="96"/>
      <c r="M7" s="96"/>
      <c r="N7" s="96"/>
      <c r="O7" s="96"/>
      <c r="P7" s="23" t="s">
        <v>31</v>
      </c>
      <c r="Q7" s="23" t="s">
        <v>31</v>
      </c>
      <c r="R7" s="49" t="s">
        <v>55</v>
      </c>
      <c r="S7" s="58"/>
      <c r="T7" s="97" t="s">
        <v>50</v>
      </c>
      <c r="U7" s="98"/>
      <c r="V7" s="99"/>
      <c r="W7" s="32"/>
      <c r="X7" s="32"/>
      <c r="Y7" s="36" t="s">
        <v>56</v>
      </c>
      <c r="Z7" s="36" t="s">
        <v>56</v>
      </c>
      <c r="AA7" s="36"/>
      <c r="AB7" s="32"/>
      <c r="AC7" s="54" t="s">
        <v>72</v>
      </c>
      <c r="AD7" s="32"/>
      <c r="AE7" s="52"/>
    </row>
    <row r="8" spans="1:39" s="8" customFormat="1" ht="18" x14ac:dyDescent="0.35">
      <c r="A8" s="17"/>
      <c r="B8" s="17"/>
      <c r="C8" s="16"/>
      <c r="D8" s="16"/>
      <c r="E8" s="16"/>
      <c r="F8" s="16"/>
      <c r="G8" s="100" t="s">
        <v>49</v>
      </c>
      <c r="H8" s="100"/>
      <c r="I8" s="100" t="s">
        <v>48</v>
      </c>
      <c r="J8" s="100"/>
      <c r="K8" s="100" t="s">
        <v>47</v>
      </c>
      <c r="L8" s="100"/>
      <c r="M8" s="55" t="s">
        <v>46</v>
      </c>
      <c r="N8" s="55" t="s">
        <v>45</v>
      </c>
      <c r="O8" s="19"/>
      <c r="P8" s="24" t="s">
        <v>29</v>
      </c>
      <c r="Q8" s="24" t="s">
        <v>29</v>
      </c>
      <c r="R8" s="22" t="s">
        <v>53</v>
      </c>
      <c r="S8" s="59"/>
      <c r="T8" s="37" t="s">
        <v>44</v>
      </c>
      <c r="U8" s="35"/>
      <c r="V8" s="38"/>
      <c r="W8" s="32"/>
      <c r="X8" s="34"/>
      <c r="Y8" s="39" t="s">
        <v>57</v>
      </c>
      <c r="Z8" s="35"/>
      <c r="AA8" s="35"/>
      <c r="AB8" s="35"/>
      <c r="AC8" s="35">
        <f>MAX(AC10:AC23)</f>
        <v>2</v>
      </c>
      <c r="AD8" s="35"/>
      <c r="AE8" s="53"/>
    </row>
    <row r="9" spans="1:39" s="8" customFormat="1" ht="18.600000000000001" thickBot="1" x14ac:dyDescent="0.4">
      <c r="A9" s="15" t="s">
        <v>42</v>
      </c>
      <c r="B9" s="15" t="s">
        <v>41</v>
      </c>
      <c r="C9" s="55" t="s">
        <v>40</v>
      </c>
      <c r="D9" s="55" t="s">
        <v>39</v>
      </c>
      <c r="E9" s="55" t="s">
        <v>38</v>
      </c>
      <c r="F9" s="55" t="s">
        <v>37</v>
      </c>
      <c r="G9" s="55" t="s">
        <v>36</v>
      </c>
      <c r="H9" s="55" t="s">
        <v>35</v>
      </c>
      <c r="I9" s="55" t="s">
        <v>36</v>
      </c>
      <c r="J9" s="55" t="s">
        <v>35</v>
      </c>
      <c r="K9" s="55" t="s">
        <v>34</v>
      </c>
      <c r="L9" s="55" t="s">
        <v>33</v>
      </c>
      <c r="M9" s="55" t="s">
        <v>32</v>
      </c>
      <c r="N9" s="55" t="s">
        <v>31</v>
      </c>
      <c r="O9" s="19" t="s">
        <v>30</v>
      </c>
      <c r="P9" s="25" t="s">
        <v>43</v>
      </c>
      <c r="Q9" s="26" t="s">
        <v>66</v>
      </c>
      <c r="R9" s="22" t="s">
        <v>54</v>
      </c>
      <c r="S9" s="59"/>
      <c r="T9" s="40" t="s">
        <v>28</v>
      </c>
      <c r="U9" s="35"/>
      <c r="V9" s="38"/>
      <c r="W9" s="32"/>
      <c r="X9" s="34"/>
      <c r="Y9" s="35"/>
      <c r="Z9" s="35"/>
      <c r="AA9" s="35"/>
      <c r="AB9" s="32"/>
      <c r="AC9" s="32"/>
      <c r="AD9" s="32"/>
      <c r="AE9" s="52"/>
      <c r="AF9"/>
      <c r="AG9"/>
      <c r="AH9"/>
      <c r="AI9"/>
      <c r="AJ9"/>
      <c r="AK9"/>
      <c r="AL9"/>
      <c r="AM9"/>
    </row>
    <row r="10" spans="1:39" s="8" customFormat="1" ht="30" customHeight="1" thickTop="1" x14ac:dyDescent="0.35">
      <c r="A10" s="65" t="s">
        <v>102</v>
      </c>
      <c r="B10" s="65" t="s">
        <v>103</v>
      </c>
      <c r="C10" s="65"/>
      <c r="D10" s="65"/>
      <c r="E10" s="67" t="s">
        <v>104</v>
      </c>
      <c r="F10" s="66">
        <v>485</v>
      </c>
      <c r="G10" s="66">
        <v>168</v>
      </c>
      <c r="H10" s="11">
        <f>IFERROR(G10+15,"")</f>
        <v>183</v>
      </c>
      <c r="I10" s="14" t="str">
        <f>IF(T10 = "s",1000/(900+G10),"")</f>
        <v/>
      </c>
      <c r="J10" s="14">
        <f>IF(T10 ="n",1000/(900+H10),"")</f>
        <v>0.92336103416435822</v>
      </c>
      <c r="K10" s="27">
        <f>IF(AK10&gt;0,VLOOKUP($B10,'Finish Times'!$A$10:$G$40,6,FALSE)," ")</f>
        <v>34</v>
      </c>
      <c r="L10" s="11">
        <f>IF(AK10&gt;0,VLOOKUP($B10,'Finish Times'!$A$10:$G$40,7,FALSE)," ")</f>
        <v>43</v>
      </c>
      <c r="M10" s="12">
        <f>IF(AK10&gt;0,(K10+L10/60)-A$3," ")</f>
        <v>29.716666666666669</v>
      </c>
      <c r="N10" s="12">
        <f t="shared" ref="N10:O23" si="0">IFERROR(U10," ")</f>
        <v>27.439212065250846</v>
      </c>
      <c r="O10" s="11">
        <f t="shared" si="0"/>
        <v>1</v>
      </c>
      <c r="P10" s="28">
        <f t="shared" ref="P10:P23" si="1">IFERROR(N10-$Y$2,"")</f>
        <v>0</v>
      </c>
      <c r="Q10" s="62"/>
      <c r="R10" s="30">
        <f t="shared" ref="R10:R23" si="2">IFERROR(ROUND((1000/Y10)-900,0),"")</f>
        <v>183</v>
      </c>
      <c r="S10" s="60"/>
      <c r="T10" s="69" t="s">
        <v>6</v>
      </c>
      <c r="U10" s="42">
        <f>IFERROR(IF(M10&gt;0,IF(T10="s",M10*I10,0)+IF(T10="n",M10*J10,0)," "),"")</f>
        <v>27.439212065250846</v>
      </c>
      <c r="V10" s="42">
        <f t="shared" ref="V10:V23" si="3">IFERROR(RANK(N10,$N$10:$N$23,1),"")</f>
        <v>1</v>
      </c>
      <c r="W10" s="34"/>
      <c r="X10" s="34"/>
      <c r="Y10" s="43">
        <f t="shared" ref="Y10:Y23" si="4">IFERROR($Y$2/M10,"")</f>
        <v>0.92336103416435822</v>
      </c>
      <c r="Z10" s="44">
        <f>IFERROR(M10*Y10,"")</f>
        <v>27.439212065250846</v>
      </c>
      <c r="AA10" s="34"/>
      <c r="AB10" s="45">
        <v>1</v>
      </c>
      <c r="AC10" s="45">
        <v>1</v>
      </c>
      <c r="AD10" s="61">
        <v>0</v>
      </c>
      <c r="AE10" s="61"/>
      <c r="AF10"/>
      <c r="AG10"/>
      <c r="AH10" s="27">
        <v>55</v>
      </c>
      <c r="AI10" s="11">
        <v>39</v>
      </c>
      <c r="AJ10"/>
      <c r="AK10" s="27">
        <f>VLOOKUP($B10,'Finish Times'!$A$10:$G$40,6,FALSE)</f>
        <v>34</v>
      </c>
      <c r="AL10"/>
      <c r="AM10"/>
    </row>
    <row r="11" spans="1:39" s="8" customFormat="1" ht="30" customHeight="1" x14ac:dyDescent="0.35">
      <c r="A11" s="65" t="s">
        <v>105</v>
      </c>
      <c r="B11" s="65" t="s">
        <v>106</v>
      </c>
      <c r="C11" s="65"/>
      <c r="D11" s="65"/>
      <c r="E11" s="67" t="s">
        <v>107</v>
      </c>
      <c r="F11" s="66">
        <v>505</v>
      </c>
      <c r="G11" s="66">
        <f>183+3+3</f>
        <v>189</v>
      </c>
      <c r="H11" s="11">
        <f t="shared" ref="H11:H15" si="5">IFERROR(G11+15,"")</f>
        <v>204</v>
      </c>
      <c r="I11" s="14" t="str">
        <f>IF(T11 = "s",1000/(900+G11),"")</f>
        <v/>
      </c>
      <c r="J11" s="14">
        <f>IF(T11 ="n",1000/(900+H11),"")</f>
        <v>0.90579710144927539</v>
      </c>
      <c r="K11" s="27">
        <f>IF(AK11&gt;0,VLOOKUP($B11,'Finish Times'!$A$10:$G$40,6,FALSE)," ")</f>
        <v>48</v>
      </c>
      <c r="L11" s="11">
        <f>IF(AK11&gt;0,VLOOKUP($B11,'Finish Times'!$A$10:$G$40,7,FALSE)," ")</f>
        <v>18</v>
      </c>
      <c r="M11" s="12">
        <f t="shared" ref="M11:M15" si="6">IF(AK11&gt;0,(K11+L11/60)-A$3," ")</f>
        <v>43.3</v>
      </c>
      <c r="N11" s="12">
        <f t="shared" si="0"/>
        <v>39.221014492753625</v>
      </c>
      <c r="O11" s="11">
        <f t="shared" si="0"/>
        <v>2</v>
      </c>
      <c r="P11" s="29">
        <f t="shared" si="1"/>
        <v>11.781802427502779</v>
      </c>
      <c r="Q11" s="62">
        <v>11.781802427502779</v>
      </c>
      <c r="R11" s="30">
        <f t="shared" si="2"/>
        <v>678</v>
      </c>
      <c r="S11" s="60"/>
      <c r="T11" s="69" t="s">
        <v>6</v>
      </c>
      <c r="U11" s="42">
        <f t="shared" ref="U11:U23" si="7">IFERROR(IF(M11&gt;0,IF(T11="s",M11*I11,0)+IF(T11="n",M11*J11,0)," "),"")</f>
        <v>39.221014492753625</v>
      </c>
      <c r="V11" s="42">
        <f t="shared" si="3"/>
        <v>2</v>
      </c>
      <c r="W11" s="34"/>
      <c r="X11" s="34"/>
      <c r="Y11" s="43">
        <f t="shared" si="4"/>
        <v>0.63370004769632438</v>
      </c>
      <c r="Z11" s="44">
        <f t="shared" ref="Z11:Z23" si="8">IFERROR(M11*Y11,"")</f>
        <v>27.439212065250842</v>
      </c>
      <c r="AA11" s="34"/>
      <c r="AB11" s="45">
        <v>2</v>
      </c>
      <c r="AC11" s="45">
        <v>2</v>
      </c>
      <c r="AD11" s="61">
        <v>11.781802427502779</v>
      </c>
      <c r="AE11" s="61">
        <v>11.781802427502779</v>
      </c>
      <c r="AF11"/>
      <c r="AG11"/>
      <c r="AH11" s="27">
        <v>56</v>
      </c>
      <c r="AI11" s="11">
        <v>22</v>
      </c>
      <c r="AJ11"/>
      <c r="AK11" s="27">
        <f>VLOOKUP($B11,'Finish Times'!$A$10:$G$40,6,FALSE)</f>
        <v>48</v>
      </c>
      <c r="AL11"/>
      <c r="AM11"/>
    </row>
    <row r="12" spans="1:39" s="8" customFormat="1" ht="30" customHeight="1" x14ac:dyDescent="0.35">
      <c r="A12" s="65" t="s">
        <v>111</v>
      </c>
      <c r="B12" s="65" t="s">
        <v>112</v>
      </c>
      <c r="C12" s="65"/>
      <c r="D12" s="65"/>
      <c r="E12" s="67" t="s">
        <v>113</v>
      </c>
      <c r="F12" s="66">
        <v>144</v>
      </c>
      <c r="G12" s="90">
        <f>193+6</f>
        <v>199</v>
      </c>
      <c r="H12" s="11">
        <f t="shared" si="5"/>
        <v>214</v>
      </c>
      <c r="I12" s="14" t="str">
        <f>IF(T12 = "s",1000/(900+G12),"")</f>
        <v/>
      </c>
      <c r="J12" s="14">
        <f>IF(T12 ="n",1000/(900+H12),"")</f>
        <v>0.89766606822262118</v>
      </c>
      <c r="K12" s="27" t="str">
        <f>IF(AK12&gt;0,VLOOKUP($B12,'Finish Times'!$A$10:$G$40,6,FALSE)," ")</f>
        <v xml:space="preserve"> </v>
      </c>
      <c r="L12" s="11" t="str">
        <f>IF(AK12&gt;0,VLOOKUP($B12,'Finish Times'!$A$10:$G$40,7,FALSE)," ")</f>
        <v xml:space="preserve"> </v>
      </c>
      <c r="M12" s="12" t="str">
        <f t="shared" si="6"/>
        <v xml:space="preserve"> </v>
      </c>
      <c r="N12" s="12" t="str">
        <f t="shared" si="0"/>
        <v/>
      </c>
      <c r="O12" s="11" t="str">
        <f t="shared" si="0"/>
        <v/>
      </c>
      <c r="P12" s="29" t="str">
        <f t="shared" si="1"/>
        <v/>
      </c>
      <c r="Q12" s="62" t="s">
        <v>67</v>
      </c>
      <c r="R12" s="30" t="str">
        <f t="shared" si="2"/>
        <v/>
      </c>
      <c r="S12" s="60"/>
      <c r="T12" s="69" t="s">
        <v>6</v>
      </c>
      <c r="U12" s="42" t="str">
        <f t="shared" si="7"/>
        <v/>
      </c>
      <c r="V12" s="42" t="str">
        <f t="shared" si="3"/>
        <v/>
      </c>
      <c r="W12" s="34"/>
      <c r="X12" s="34"/>
      <c r="Y12" s="43" t="str">
        <f t="shared" si="4"/>
        <v/>
      </c>
      <c r="Z12" s="44" t="str">
        <f t="shared" si="8"/>
        <v/>
      </c>
      <c r="AA12" s="34"/>
      <c r="AB12" s="45">
        <v>4</v>
      </c>
      <c r="AC12" s="45" t="s">
        <v>67</v>
      </c>
      <c r="AD12" s="61" t="s">
        <v>67</v>
      </c>
      <c r="AE12" s="61" t="s">
        <v>67</v>
      </c>
      <c r="AF12"/>
      <c r="AG12"/>
      <c r="AH12" s="27">
        <v>62</v>
      </c>
      <c r="AI12" s="11">
        <v>59</v>
      </c>
      <c r="AJ12"/>
      <c r="AK12" s="27">
        <f>VLOOKUP($B12,'Finish Times'!$A$10:$G$40,6,FALSE)</f>
        <v>0</v>
      </c>
      <c r="AL12"/>
      <c r="AM12"/>
    </row>
    <row r="13" spans="1:39" s="8" customFormat="1" ht="30" customHeight="1" x14ac:dyDescent="0.35">
      <c r="A13" s="65" t="s">
        <v>122</v>
      </c>
      <c r="B13" s="65" t="s">
        <v>123</v>
      </c>
      <c r="C13" s="65"/>
      <c r="D13" s="65"/>
      <c r="E13" s="67" t="s">
        <v>124</v>
      </c>
      <c r="F13" s="66">
        <v>13</v>
      </c>
      <c r="G13" s="66">
        <f>188+6</f>
        <v>194</v>
      </c>
      <c r="H13" s="11">
        <f t="shared" si="5"/>
        <v>209</v>
      </c>
      <c r="I13" s="14" t="str">
        <f t="shared" ref="I13:I15" si="9">IF(T13 = "s",1000/(900+G13),"")</f>
        <v/>
      </c>
      <c r="J13" s="14">
        <f t="shared" ref="J13:J15" si="10">IF(T13 ="n",1000/(900+H13),"")</f>
        <v>0.90171325518485124</v>
      </c>
      <c r="K13" s="27" t="str">
        <f>IF(AK13&gt;0,VLOOKUP($B13,'Finish Times'!$A$10:$G$40,6,FALSE)," ")</f>
        <v xml:space="preserve"> </v>
      </c>
      <c r="L13" s="11" t="str">
        <f>IF(AK13&gt;0,VLOOKUP($B13,'Finish Times'!$A$10:$G$40,7,FALSE)," ")</f>
        <v xml:space="preserve"> </v>
      </c>
      <c r="M13" s="12" t="str">
        <f t="shared" si="6"/>
        <v xml:space="preserve"> </v>
      </c>
      <c r="N13" s="12" t="str">
        <f t="shared" si="0"/>
        <v/>
      </c>
      <c r="O13" s="11" t="str">
        <f t="shared" si="0"/>
        <v/>
      </c>
      <c r="P13" s="29" t="str">
        <f t="shared" si="1"/>
        <v/>
      </c>
      <c r="Q13" s="62" t="s">
        <v>67</v>
      </c>
      <c r="R13" s="30" t="str">
        <f t="shared" si="2"/>
        <v/>
      </c>
      <c r="S13" s="60"/>
      <c r="T13" s="69" t="s">
        <v>6</v>
      </c>
      <c r="U13" s="42" t="str">
        <f t="shared" si="7"/>
        <v/>
      </c>
      <c r="V13" s="42" t="str">
        <f t="shared" si="3"/>
        <v/>
      </c>
      <c r="W13" s="34"/>
      <c r="X13" s="34"/>
      <c r="Y13" s="43" t="str">
        <f t="shared" si="4"/>
        <v/>
      </c>
      <c r="Z13" s="44" t="str">
        <f t="shared" si="8"/>
        <v/>
      </c>
      <c r="AA13" s="34"/>
      <c r="AB13" s="45">
        <v>5</v>
      </c>
      <c r="AC13" s="45" t="s">
        <v>67</v>
      </c>
      <c r="AD13" s="61" t="s">
        <v>67</v>
      </c>
      <c r="AE13" s="61" t="s">
        <v>67</v>
      </c>
      <c r="AF13"/>
      <c r="AG13"/>
      <c r="AH13" s="27">
        <v>59</v>
      </c>
      <c r="AI13" s="11">
        <v>12</v>
      </c>
      <c r="AJ13"/>
      <c r="AK13" s="27">
        <f>VLOOKUP($B13,'Finish Times'!$A$10:$G$40,6,FALSE)</f>
        <v>0</v>
      </c>
      <c r="AL13"/>
      <c r="AM13"/>
    </row>
    <row r="14" spans="1:39" s="8" customFormat="1" ht="30" customHeight="1" x14ac:dyDescent="0.35">
      <c r="A14" s="65" t="s">
        <v>117</v>
      </c>
      <c r="B14" s="65" t="s">
        <v>125</v>
      </c>
      <c r="C14" s="65"/>
      <c r="D14" s="65"/>
      <c r="E14" s="67" t="s">
        <v>118</v>
      </c>
      <c r="F14" s="66">
        <v>222</v>
      </c>
      <c r="G14" s="66">
        <f>225+6</f>
        <v>231</v>
      </c>
      <c r="H14" s="11">
        <f t="shared" ref="H14" si="11">IFERROR(G14+15,"")</f>
        <v>246</v>
      </c>
      <c r="I14" s="14" t="str">
        <f t="shared" ref="I14" si="12">IF(T14 = "s",1000/(900+G14),"")</f>
        <v/>
      </c>
      <c r="J14" s="14">
        <f t="shared" ref="J14" si="13">IF(T14 ="n",1000/(900+H14),"")</f>
        <v>0.87260034904013961</v>
      </c>
      <c r="K14" s="27" t="str">
        <f>IF(AK14&gt;0,VLOOKUP($B14,'Finish Times'!$A$10:$G$40,6,FALSE)," ")</f>
        <v xml:space="preserve"> </v>
      </c>
      <c r="L14" s="11" t="str">
        <f>IF(AK14&gt;0,VLOOKUP($B14,'Finish Times'!$A$10:$G$40,7,FALSE)," ")</f>
        <v xml:space="preserve"> </v>
      </c>
      <c r="M14" s="12" t="str">
        <f t="shared" si="6"/>
        <v xml:space="preserve"> </v>
      </c>
      <c r="N14" s="12" t="str">
        <f t="shared" ref="N14" si="14">IFERROR(U14," ")</f>
        <v/>
      </c>
      <c r="O14" s="11" t="str">
        <f t="shared" ref="O14" si="15">IFERROR(V14," ")</f>
        <v/>
      </c>
      <c r="P14" s="29" t="str">
        <f t="shared" ref="P14" si="16">IFERROR(N14-$Y$2,"")</f>
        <v/>
      </c>
      <c r="Q14" s="62" t="s">
        <v>67</v>
      </c>
      <c r="R14" s="30" t="str">
        <f t="shared" ref="R14" si="17">IFERROR(ROUND((1000/Y14)-900,0),"")</f>
        <v/>
      </c>
      <c r="S14" s="60"/>
      <c r="T14" s="69" t="s">
        <v>6</v>
      </c>
      <c r="U14" s="42" t="str">
        <f t="shared" si="7"/>
        <v/>
      </c>
      <c r="V14" s="42" t="str">
        <f t="shared" si="3"/>
        <v/>
      </c>
      <c r="W14" s="34"/>
      <c r="X14" s="34"/>
      <c r="Y14" s="43" t="str">
        <f t="shared" si="4"/>
        <v/>
      </c>
      <c r="Z14" s="44" t="str">
        <f t="shared" si="8"/>
        <v/>
      </c>
      <c r="AA14" s="34"/>
      <c r="AB14" s="45">
        <v>6</v>
      </c>
      <c r="AC14" s="45" t="s">
        <v>67</v>
      </c>
      <c r="AD14" s="61" t="s">
        <v>67</v>
      </c>
      <c r="AE14" s="61" t="s">
        <v>67</v>
      </c>
      <c r="AF14"/>
      <c r="AG14"/>
      <c r="AH14" s="27">
        <v>56</v>
      </c>
      <c r="AI14" s="11">
        <v>58</v>
      </c>
      <c r="AJ14"/>
      <c r="AK14" s="27">
        <f>VLOOKUP($B14,'Finish Times'!$A$10:$G$40,6,FALSE)</f>
        <v>0</v>
      </c>
      <c r="AL14"/>
      <c r="AM14"/>
    </row>
    <row r="15" spans="1:39" s="8" customFormat="1" ht="30" customHeight="1" x14ac:dyDescent="0.35">
      <c r="A15" s="65" t="s">
        <v>95</v>
      </c>
      <c r="B15" s="65" t="s">
        <v>160</v>
      </c>
      <c r="C15" s="65"/>
      <c r="D15" s="65"/>
      <c r="E15" s="67" t="s">
        <v>161</v>
      </c>
      <c r="F15" s="66"/>
      <c r="G15" s="66">
        <f>139+3+3+3</f>
        <v>148</v>
      </c>
      <c r="H15" s="11">
        <f t="shared" si="5"/>
        <v>163</v>
      </c>
      <c r="I15" s="14" t="str">
        <f t="shared" si="9"/>
        <v/>
      </c>
      <c r="J15" s="14">
        <f t="shared" si="10"/>
        <v>0.94073377234242705</v>
      </c>
      <c r="K15" s="27" t="str">
        <f>IF(AK15&gt;0,VLOOKUP($B15,'Finish Times'!$A$10:$G$40,6,FALSE)," ")</f>
        <v xml:space="preserve"> </v>
      </c>
      <c r="L15" s="11" t="str">
        <f>IF(AK15&gt;0,VLOOKUP($B15,'Finish Times'!$A$10:$G$40,7,FALSE)," ")</f>
        <v xml:space="preserve"> </v>
      </c>
      <c r="M15" s="12" t="str">
        <f t="shared" si="6"/>
        <v xml:space="preserve"> </v>
      </c>
      <c r="N15" s="12" t="str">
        <f t="shared" si="0"/>
        <v/>
      </c>
      <c r="O15" s="11" t="str">
        <f t="shared" si="0"/>
        <v/>
      </c>
      <c r="P15" s="29" t="str">
        <f t="shared" si="1"/>
        <v/>
      </c>
      <c r="Q15" s="62" t="s">
        <v>67</v>
      </c>
      <c r="R15" s="30" t="str">
        <f t="shared" si="2"/>
        <v/>
      </c>
      <c r="S15" s="60"/>
      <c r="T15" s="69" t="s">
        <v>6</v>
      </c>
      <c r="U15" s="42" t="str">
        <f t="shared" si="7"/>
        <v/>
      </c>
      <c r="V15" s="42" t="str">
        <f t="shared" si="3"/>
        <v/>
      </c>
      <c r="W15" s="34"/>
      <c r="X15" s="34"/>
      <c r="Y15" s="43" t="str">
        <f t="shared" si="4"/>
        <v/>
      </c>
      <c r="Z15" s="44" t="str">
        <f t="shared" si="8"/>
        <v/>
      </c>
      <c r="AA15" s="34"/>
      <c r="AB15" s="45">
        <v>7</v>
      </c>
      <c r="AC15" s="45" t="s">
        <v>67</v>
      </c>
      <c r="AD15" s="61" t="s">
        <v>67</v>
      </c>
      <c r="AE15" s="61" t="s">
        <v>67</v>
      </c>
      <c r="AF15"/>
      <c r="AG15"/>
      <c r="AH15" s="27">
        <v>64</v>
      </c>
      <c r="AI15" s="11">
        <v>47</v>
      </c>
      <c r="AJ15"/>
      <c r="AK15" s="27">
        <f>VLOOKUP($B15,'Finish Times'!$A$10:$G$40,6,FALSE)</f>
        <v>0</v>
      </c>
      <c r="AL15"/>
      <c r="AM15"/>
    </row>
    <row r="16" spans="1:39" s="8" customFormat="1" ht="30" customHeight="1" x14ac:dyDescent="0.35">
      <c r="A16" s="65" t="s">
        <v>90</v>
      </c>
      <c r="B16" s="65" t="s">
        <v>155</v>
      </c>
      <c r="C16" s="65"/>
      <c r="D16" s="65"/>
      <c r="E16" s="67" t="s">
        <v>113</v>
      </c>
      <c r="F16" s="66">
        <v>285</v>
      </c>
      <c r="G16" s="66">
        <v>199</v>
      </c>
      <c r="H16" s="11">
        <f t="shared" ref="H16" si="18">IFERROR(G16+15,"")</f>
        <v>214</v>
      </c>
      <c r="I16" s="14" t="str">
        <f t="shared" ref="I16" si="19">IF(T16 = "s",1000/(900+G16),"")</f>
        <v/>
      </c>
      <c r="J16" s="14">
        <f t="shared" ref="J16" si="20">IF(T16 ="n",1000/(900+H16),"")</f>
        <v>0.89766606822262118</v>
      </c>
      <c r="K16" s="27" t="str">
        <f>IF(AK16&gt;0,VLOOKUP($B16,'Finish Times'!$A$10:$G$40,6,FALSE)," ")</f>
        <v xml:space="preserve"> </v>
      </c>
      <c r="L16" s="11" t="str">
        <f>IF(AK16&gt;0,VLOOKUP($B16,'Finish Times'!$A$10:$G$40,7,FALSE)," ")</f>
        <v xml:space="preserve"> </v>
      </c>
      <c r="M16" s="12" t="str">
        <f t="shared" ref="M16" si="21">IF(AK16&gt;0,(K16+L16/60)-A$3," ")</f>
        <v xml:space="preserve"> </v>
      </c>
      <c r="N16" s="12" t="str">
        <f t="shared" ref="N16" si="22">IFERROR(U16," ")</f>
        <v/>
      </c>
      <c r="O16" s="11" t="str">
        <f t="shared" ref="O16" si="23">IFERROR(V16," ")</f>
        <v/>
      </c>
      <c r="P16" s="29" t="str">
        <f t="shared" ref="P16" si="24">IFERROR(N16-$Y$2,"")</f>
        <v/>
      </c>
      <c r="Q16" s="62" t="s">
        <v>67</v>
      </c>
      <c r="R16" s="30" t="str">
        <f t="shared" ref="R16" si="25">IFERROR(ROUND((1000/Y16)-900,0),"")</f>
        <v/>
      </c>
      <c r="S16" s="60"/>
      <c r="T16" s="69" t="s">
        <v>6</v>
      </c>
      <c r="U16" s="42" t="str">
        <f t="shared" si="7"/>
        <v/>
      </c>
      <c r="V16" s="42" t="str">
        <f t="shared" si="3"/>
        <v/>
      </c>
      <c r="W16" s="34"/>
      <c r="X16" s="34"/>
      <c r="Y16" s="43" t="str">
        <f t="shared" si="4"/>
        <v/>
      </c>
      <c r="Z16" s="44" t="str">
        <f t="shared" si="8"/>
        <v/>
      </c>
      <c r="AA16" s="34"/>
      <c r="AB16" s="45">
        <v>8</v>
      </c>
      <c r="AC16" s="45" t="s">
        <v>67</v>
      </c>
      <c r="AD16" s="61" t="s">
        <v>67</v>
      </c>
      <c r="AE16" s="61" t="s">
        <v>67</v>
      </c>
      <c r="AF16"/>
      <c r="AG16"/>
      <c r="AH16"/>
      <c r="AI16"/>
      <c r="AJ16"/>
      <c r="AK16" s="27">
        <f>VLOOKUP($B16,'Finish Times'!$A$10:$G$40,6,FALSE)</f>
        <v>0</v>
      </c>
      <c r="AL16"/>
      <c r="AM16"/>
    </row>
    <row r="17" spans="1:39" s="8" customFormat="1" ht="30" customHeight="1" x14ac:dyDescent="0.35">
      <c r="A17" s="65"/>
      <c r="B17" s="65"/>
      <c r="C17" s="65"/>
      <c r="D17" s="65"/>
      <c r="E17" s="67"/>
      <c r="F17" s="66"/>
      <c r="G17" s="66"/>
      <c r="H17" s="11"/>
      <c r="I17" s="14"/>
      <c r="J17" s="14"/>
      <c r="K17" s="27"/>
      <c r="L17" s="11"/>
      <c r="M17" s="12"/>
      <c r="N17" s="12" t="str">
        <f t="shared" si="0"/>
        <v xml:space="preserve"> </v>
      </c>
      <c r="O17" s="11" t="str">
        <f t="shared" si="0"/>
        <v/>
      </c>
      <c r="P17" s="29" t="str">
        <f t="shared" si="1"/>
        <v/>
      </c>
      <c r="Q17" s="62" t="s">
        <v>67</v>
      </c>
      <c r="R17" s="30" t="str">
        <f t="shared" si="2"/>
        <v/>
      </c>
      <c r="S17" s="60"/>
      <c r="T17" s="69" t="s">
        <v>6</v>
      </c>
      <c r="U17" s="42" t="str">
        <f t="shared" si="7"/>
        <v xml:space="preserve"> </v>
      </c>
      <c r="V17" s="42" t="str">
        <f t="shared" si="3"/>
        <v/>
      </c>
      <c r="W17" s="34"/>
      <c r="X17" s="34"/>
      <c r="Y17" s="43" t="str">
        <f t="shared" si="4"/>
        <v/>
      </c>
      <c r="Z17" s="44" t="str">
        <f t="shared" si="8"/>
        <v/>
      </c>
      <c r="AA17" s="34"/>
      <c r="AB17" s="45">
        <v>9</v>
      </c>
      <c r="AC17" s="45" t="s">
        <v>67</v>
      </c>
      <c r="AD17" s="61" t="s">
        <v>67</v>
      </c>
      <c r="AE17" s="61" t="s">
        <v>67</v>
      </c>
      <c r="AF17"/>
      <c r="AG17"/>
      <c r="AH17"/>
      <c r="AI17"/>
      <c r="AJ17"/>
      <c r="AK17" s="27" t="e">
        <f>VLOOKUP($B17,'Finish Times'!$A$10:$G$40,6,FALSE)</f>
        <v>#N/A</v>
      </c>
      <c r="AL17"/>
      <c r="AM17"/>
    </row>
    <row r="18" spans="1:39" s="8" customFormat="1" ht="30" customHeight="1" x14ac:dyDescent="0.35">
      <c r="A18" s="65"/>
      <c r="B18" s="65"/>
      <c r="C18" s="65"/>
      <c r="D18" s="65"/>
      <c r="E18" s="67"/>
      <c r="F18" s="66"/>
      <c r="G18" s="66"/>
      <c r="H18" s="11"/>
      <c r="I18" s="14"/>
      <c r="J18" s="14"/>
      <c r="K18" s="27"/>
      <c r="L18" s="11"/>
      <c r="M18" s="12"/>
      <c r="N18" s="12" t="str">
        <f t="shared" si="0"/>
        <v xml:space="preserve"> </v>
      </c>
      <c r="O18" s="11" t="str">
        <f t="shared" si="0"/>
        <v/>
      </c>
      <c r="P18" s="29" t="str">
        <f t="shared" si="1"/>
        <v/>
      </c>
      <c r="Q18" s="62" t="s">
        <v>67</v>
      </c>
      <c r="R18" s="30" t="str">
        <f t="shared" si="2"/>
        <v/>
      </c>
      <c r="S18" s="60"/>
      <c r="T18" s="69" t="s">
        <v>6</v>
      </c>
      <c r="U18" s="42" t="str">
        <f t="shared" si="7"/>
        <v xml:space="preserve"> </v>
      </c>
      <c r="V18" s="42" t="str">
        <f t="shared" si="3"/>
        <v/>
      </c>
      <c r="W18" s="34"/>
      <c r="X18" s="34"/>
      <c r="Y18" s="43" t="str">
        <f t="shared" si="4"/>
        <v/>
      </c>
      <c r="Z18" s="44" t="str">
        <f t="shared" si="8"/>
        <v/>
      </c>
      <c r="AA18" s="34"/>
      <c r="AB18" s="45">
        <v>10</v>
      </c>
      <c r="AC18" s="45" t="s">
        <v>67</v>
      </c>
      <c r="AD18" s="61" t="s">
        <v>67</v>
      </c>
      <c r="AE18" s="61" t="s">
        <v>67</v>
      </c>
      <c r="AF18"/>
      <c r="AG18"/>
      <c r="AH18"/>
      <c r="AI18"/>
      <c r="AJ18"/>
      <c r="AK18" s="27" t="e">
        <f>VLOOKUP($B18,'Finish Times'!$A$10:$G$40,6,FALSE)</f>
        <v>#N/A</v>
      </c>
      <c r="AL18"/>
      <c r="AM18"/>
    </row>
    <row r="19" spans="1:39" s="8" customFormat="1" ht="30" customHeight="1" x14ac:dyDescent="0.35">
      <c r="A19" s="65"/>
      <c r="B19" s="65"/>
      <c r="C19" s="65"/>
      <c r="D19" s="65"/>
      <c r="E19" s="67"/>
      <c r="F19" s="66"/>
      <c r="G19" s="66"/>
      <c r="H19" s="11"/>
      <c r="I19" s="14"/>
      <c r="J19" s="14"/>
      <c r="K19" s="27"/>
      <c r="L19" s="11"/>
      <c r="M19" s="12"/>
      <c r="N19" s="12" t="str">
        <f t="shared" si="0"/>
        <v xml:space="preserve"> </v>
      </c>
      <c r="O19" s="11" t="str">
        <f t="shared" si="0"/>
        <v/>
      </c>
      <c r="P19" s="29" t="str">
        <f t="shared" si="1"/>
        <v/>
      </c>
      <c r="Q19" s="62" t="s">
        <v>67</v>
      </c>
      <c r="R19" s="30" t="str">
        <f t="shared" si="2"/>
        <v/>
      </c>
      <c r="S19" s="60"/>
      <c r="T19" s="69" t="s">
        <v>6</v>
      </c>
      <c r="U19" s="42" t="str">
        <f t="shared" si="7"/>
        <v xml:space="preserve"> </v>
      </c>
      <c r="V19" s="42" t="str">
        <f t="shared" si="3"/>
        <v/>
      </c>
      <c r="W19" s="34"/>
      <c r="X19" s="34"/>
      <c r="Y19" s="43" t="str">
        <f t="shared" si="4"/>
        <v/>
      </c>
      <c r="Z19" s="44" t="str">
        <f t="shared" si="8"/>
        <v/>
      </c>
      <c r="AA19" s="34"/>
      <c r="AB19" s="45">
        <v>11</v>
      </c>
      <c r="AC19" s="46" t="s">
        <v>67</v>
      </c>
      <c r="AD19" s="63" t="s">
        <v>67</v>
      </c>
      <c r="AE19" s="61" t="s">
        <v>67</v>
      </c>
      <c r="AK19" s="27" t="e">
        <f>VLOOKUP($B19,'Finish Times'!$A$10:$G$40,6,FALSE)</f>
        <v>#N/A</v>
      </c>
    </row>
    <row r="20" spans="1:39" s="8" customFormat="1" ht="30" customHeight="1" x14ac:dyDescent="0.35">
      <c r="A20" s="65"/>
      <c r="B20" s="65"/>
      <c r="C20" s="65"/>
      <c r="D20" s="65"/>
      <c r="E20" s="67"/>
      <c r="F20" s="66"/>
      <c r="G20" s="66"/>
      <c r="H20" s="11"/>
      <c r="I20" s="14"/>
      <c r="J20" s="14"/>
      <c r="K20" s="27"/>
      <c r="L20" s="11"/>
      <c r="M20" s="12"/>
      <c r="N20" s="12" t="str">
        <f t="shared" si="0"/>
        <v xml:space="preserve"> </v>
      </c>
      <c r="O20" s="11" t="str">
        <f t="shared" si="0"/>
        <v/>
      </c>
      <c r="P20" s="29" t="str">
        <f t="shared" si="1"/>
        <v/>
      </c>
      <c r="Q20" s="62" t="s">
        <v>67</v>
      </c>
      <c r="R20" s="30" t="str">
        <f t="shared" si="2"/>
        <v/>
      </c>
      <c r="S20" s="60"/>
      <c r="T20" s="69" t="s">
        <v>6</v>
      </c>
      <c r="U20" s="42" t="str">
        <f t="shared" si="7"/>
        <v xml:space="preserve"> </v>
      </c>
      <c r="V20" s="42" t="str">
        <f t="shared" si="3"/>
        <v/>
      </c>
      <c r="W20" s="34"/>
      <c r="X20" s="34"/>
      <c r="Y20" s="43" t="str">
        <f t="shared" si="4"/>
        <v/>
      </c>
      <c r="Z20" s="44" t="str">
        <f t="shared" si="8"/>
        <v/>
      </c>
      <c r="AA20" s="34"/>
      <c r="AB20" s="45">
        <v>12</v>
      </c>
      <c r="AC20" s="46" t="s">
        <v>67</v>
      </c>
      <c r="AD20" s="63" t="s">
        <v>67</v>
      </c>
      <c r="AE20" s="61" t="s">
        <v>67</v>
      </c>
      <c r="AK20" s="27" t="e">
        <f>VLOOKUP($B20,'Finish Times'!$A$10:$G$40,6,FALSE)</f>
        <v>#N/A</v>
      </c>
    </row>
    <row r="21" spans="1:39" s="8" customFormat="1" ht="30" customHeight="1" x14ac:dyDescent="0.35">
      <c r="A21" s="65"/>
      <c r="B21" s="65"/>
      <c r="C21" s="65"/>
      <c r="D21" s="65"/>
      <c r="E21" s="67"/>
      <c r="F21" s="66"/>
      <c r="G21" s="66"/>
      <c r="H21" s="11"/>
      <c r="I21" s="14"/>
      <c r="J21" s="14"/>
      <c r="K21" s="27"/>
      <c r="L21" s="11"/>
      <c r="M21" s="12"/>
      <c r="N21" s="12" t="str">
        <f t="shared" si="0"/>
        <v xml:space="preserve"> </v>
      </c>
      <c r="O21" s="11" t="str">
        <f t="shared" si="0"/>
        <v/>
      </c>
      <c r="P21" s="29" t="str">
        <f t="shared" si="1"/>
        <v/>
      </c>
      <c r="Q21" s="62" t="s">
        <v>67</v>
      </c>
      <c r="R21" s="30" t="str">
        <f t="shared" si="2"/>
        <v/>
      </c>
      <c r="S21" s="60"/>
      <c r="T21" s="69" t="s">
        <v>6</v>
      </c>
      <c r="U21" s="42" t="str">
        <f t="shared" si="7"/>
        <v xml:space="preserve"> </v>
      </c>
      <c r="V21" s="42" t="str">
        <f t="shared" si="3"/>
        <v/>
      </c>
      <c r="W21" s="34"/>
      <c r="X21" s="34"/>
      <c r="Y21" s="43" t="str">
        <f t="shared" si="4"/>
        <v/>
      </c>
      <c r="Z21" s="44" t="str">
        <f t="shared" si="8"/>
        <v/>
      </c>
      <c r="AA21" s="34"/>
      <c r="AB21" s="45">
        <v>13</v>
      </c>
      <c r="AC21" s="46" t="s">
        <v>67</v>
      </c>
      <c r="AD21" s="63" t="s">
        <v>67</v>
      </c>
      <c r="AE21" s="61" t="s">
        <v>67</v>
      </c>
      <c r="AK21" s="27" t="e">
        <f>VLOOKUP($B21,'Finish Times'!$A$10:$G$40,6,FALSE)</f>
        <v>#N/A</v>
      </c>
    </row>
    <row r="22" spans="1:39" s="8" customFormat="1" ht="30" customHeight="1" x14ac:dyDescent="0.35">
      <c r="A22" s="65"/>
      <c r="B22" s="65"/>
      <c r="C22" s="65"/>
      <c r="D22" s="65"/>
      <c r="E22" s="67"/>
      <c r="F22" s="66"/>
      <c r="G22" s="66"/>
      <c r="H22" s="11"/>
      <c r="I22" s="14"/>
      <c r="J22" s="14"/>
      <c r="K22" s="27"/>
      <c r="L22" s="11"/>
      <c r="M22" s="12"/>
      <c r="N22" s="12" t="str">
        <f t="shared" si="0"/>
        <v xml:space="preserve"> </v>
      </c>
      <c r="O22" s="11" t="str">
        <f t="shared" si="0"/>
        <v/>
      </c>
      <c r="P22" s="29" t="str">
        <f t="shared" si="1"/>
        <v/>
      </c>
      <c r="Q22" s="62" t="s">
        <v>67</v>
      </c>
      <c r="R22" s="30" t="str">
        <f t="shared" si="2"/>
        <v/>
      </c>
      <c r="S22" s="60"/>
      <c r="T22" s="69" t="s">
        <v>6</v>
      </c>
      <c r="U22" s="42" t="str">
        <f t="shared" si="7"/>
        <v xml:space="preserve"> </v>
      </c>
      <c r="V22" s="42" t="str">
        <f t="shared" si="3"/>
        <v/>
      </c>
      <c r="W22" s="34"/>
      <c r="X22" s="34"/>
      <c r="Y22" s="43" t="str">
        <f t="shared" si="4"/>
        <v/>
      </c>
      <c r="Z22" s="44" t="str">
        <f t="shared" si="8"/>
        <v/>
      </c>
      <c r="AA22" s="34"/>
      <c r="AB22" s="45">
        <v>14</v>
      </c>
      <c r="AC22" s="46" t="s">
        <v>67</v>
      </c>
      <c r="AD22" s="63" t="s">
        <v>67</v>
      </c>
      <c r="AE22" s="61" t="s">
        <v>67</v>
      </c>
      <c r="AK22" s="27" t="e">
        <f>VLOOKUP($B22,'Finish Times'!$A$10:$G$40,6,FALSE)</f>
        <v>#N/A</v>
      </c>
    </row>
    <row r="23" spans="1:39" s="8" customFormat="1" ht="30" customHeight="1" x14ac:dyDescent="0.35">
      <c r="A23" s="65"/>
      <c r="B23" s="65"/>
      <c r="C23" s="65"/>
      <c r="D23" s="65"/>
      <c r="E23" s="67"/>
      <c r="F23" s="66"/>
      <c r="G23" s="66"/>
      <c r="H23" s="11"/>
      <c r="I23" s="14"/>
      <c r="J23" s="14"/>
      <c r="K23" s="27"/>
      <c r="L23" s="11"/>
      <c r="M23" s="12"/>
      <c r="N23" s="12" t="str">
        <f t="shared" si="0"/>
        <v xml:space="preserve"> </v>
      </c>
      <c r="O23" s="11" t="str">
        <f t="shared" si="0"/>
        <v/>
      </c>
      <c r="P23" s="29" t="str">
        <f t="shared" si="1"/>
        <v/>
      </c>
      <c r="Q23" s="62" t="s">
        <v>67</v>
      </c>
      <c r="R23" s="30" t="str">
        <f t="shared" si="2"/>
        <v/>
      </c>
      <c r="S23" s="60"/>
      <c r="T23" s="69" t="s">
        <v>6</v>
      </c>
      <c r="U23" s="42" t="str">
        <f t="shared" si="7"/>
        <v xml:space="preserve"> </v>
      </c>
      <c r="V23" s="42" t="str">
        <f t="shared" si="3"/>
        <v/>
      </c>
      <c r="W23" s="34"/>
      <c r="X23" s="34"/>
      <c r="Y23" s="43" t="str">
        <f t="shared" si="4"/>
        <v/>
      </c>
      <c r="Z23" s="44" t="str">
        <f t="shared" si="8"/>
        <v/>
      </c>
      <c r="AA23" s="34"/>
      <c r="AB23" s="45">
        <v>15</v>
      </c>
      <c r="AC23" s="46" t="s">
        <v>67</v>
      </c>
      <c r="AD23" s="63" t="s">
        <v>67</v>
      </c>
      <c r="AE23" s="61" t="s">
        <v>67</v>
      </c>
      <c r="AK23" s="27" t="e">
        <f>VLOOKUP($B23,'Finish Times'!$A$10:$G$40,6,FALSE)</f>
        <v>#N/A</v>
      </c>
    </row>
    <row r="24" spans="1:39" s="8" customFormat="1" ht="31.2" x14ac:dyDescent="0.6">
      <c r="A24" s="10" t="s">
        <v>5</v>
      </c>
      <c r="B24" s="10"/>
      <c r="C24" s="10"/>
      <c r="D24" s="10"/>
      <c r="E24" s="10"/>
      <c r="F24" s="10"/>
      <c r="G24" s="10"/>
      <c r="H24" s="10"/>
      <c r="I24" s="10"/>
      <c r="J24" s="10"/>
      <c r="K24" s="6"/>
      <c r="L24" s="6"/>
      <c r="M24" s="7"/>
      <c r="N24" s="9" t="s">
        <v>101</v>
      </c>
      <c r="Q24" s="62" t="s">
        <v>67</v>
      </c>
      <c r="AE24" s="61" t="s">
        <v>67</v>
      </c>
    </row>
    <row r="25" spans="1:39" ht="18" x14ac:dyDescent="0.35">
      <c r="A25" s="6" t="s">
        <v>4</v>
      </c>
      <c r="B25" s="6"/>
      <c r="C25" s="6"/>
      <c r="D25" s="6"/>
      <c r="E25" s="6"/>
      <c r="F25" s="6"/>
      <c r="G25" s="6"/>
      <c r="H25" s="6"/>
      <c r="I25" s="6"/>
      <c r="J25" s="6"/>
      <c r="K25" s="6"/>
      <c r="L25" s="6"/>
      <c r="M25" s="7"/>
      <c r="N25" s="7"/>
      <c r="O25" s="5"/>
      <c r="Q25" s="62">
        <v>0</v>
      </c>
      <c r="Y25" s="20"/>
      <c r="AE25" s="61">
        <v>0</v>
      </c>
    </row>
    <row r="26" spans="1:39" ht="18" x14ac:dyDescent="0.35">
      <c r="A26" s="6" t="s">
        <v>3</v>
      </c>
      <c r="B26" s="6"/>
      <c r="C26" s="6"/>
      <c r="D26" s="6"/>
      <c r="E26" s="6"/>
      <c r="F26" s="6"/>
      <c r="G26" s="6"/>
      <c r="H26" s="6"/>
      <c r="I26" s="6"/>
      <c r="J26" s="6"/>
      <c r="K26" s="6"/>
      <c r="L26" s="6"/>
      <c r="M26" s="5"/>
      <c r="N26" s="5"/>
      <c r="O26" s="5"/>
      <c r="Q26" s="62">
        <v>0</v>
      </c>
      <c r="AE26" s="61">
        <v>0</v>
      </c>
    </row>
    <row r="27" spans="1:39" ht="18" x14ac:dyDescent="0.35">
      <c r="A27" s="6" t="s">
        <v>2</v>
      </c>
      <c r="B27" s="6"/>
      <c r="C27" s="6"/>
      <c r="D27" s="6"/>
      <c r="E27" s="6"/>
      <c r="F27" s="6"/>
      <c r="G27" s="6"/>
      <c r="H27" s="6"/>
      <c r="I27" s="6"/>
      <c r="J27" s="6"/>
      <c r="K27" s="6"/>
      <c r="L27" s="6"/>
      <c r="M27" s="5"/>
      <c r="N27" s="5"/>
      <c r="O27" s="5"/>
      <c r="Q27" s="62">
        <v>0</v>
      </c>
      <c r="AE27" s="61">
        <v>0</v>
      </c>
    </row>
    <row r="28" spans="1:39" ht="18" x14ac:dyDescent="0.35">
      <c r="Q28" s="62">
        <v>0</v>
      </c>
      <c r="AE28" s="61">
        <v>0</v>
      </c>
    </row>
    <row r="29" spans="1:39" ht="30" customHeight="1" x14ac:dyDescent="1.1000000000000001">
      <c r="A29" s="4" t="s">
        <v>101</v>
      </c>
      <c r="B29" s="4"/>
      <c r="C29" s="4"/>
      <c r="D29" s="4"/>
      <c r="E29" s="4"/>
      <c r="F29" s="4"/>
      <c r="G29" s="4"/>
      <c r="H29" s="4"/>
      <c r="I29" s="4"/>
      <c r="J29" s="4"/>
      <c r="K29" s="4"/>
      <c r="L29" s="4"/>
      <c r="M29" s="4" t="s">
        <v>0</v>
      </c>
      <c r="N29" s="3"/>
      <c r="O29" s="2"/>
    </row>
  </sheetData>
  <sortState ref="AB10:AE28">
    <sortCondition ref="AB10:AB28"/>
  </sortState>
  <mergeCells count="7">
    <mergeCell ref="A5:O5"/>
    <mergeCell ref="A6:O6"/>
    <mergeCell ref="A7:O7"/>
    <mergeCell ref="T7:V7"/>
    <mergeCell ref="G8:H8"/>
    <mergeCell ref="I8:J8"/>
    <mergeCell ref="K8:L8"/>
  </mergeCells>
  <printOptions horizontalCentered="1" verticalCentered="1"/>
  <pageMargins left="0.2" right="0.2" top="0.75" bottom="0.5" header="0.3" footer="0.05"/>
  <pageSetup scale="78"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M33"/>
  <sheetViews>
    <sheetView topLeftCell="A4" zoomScale="70" zoomScaleNormal="70" workbookViewId="0">
      <selection activeCell="A7" sqref="A7:O7"/>
    </sheetView>
  </sheetViews>
  <sheetFormatPr defaultRowHeight="14.4" x14ac:dyDescent="0.3"/>
  <cols>
    <col min="1" max="1" width="15.6640625" customWidth="1"/>
    <col min="2" max="2" width="16.5546875" customWidth="1"/>
    <col min="3" max="3" width="9.33203125" customWidth="1"/>
    <col min="4" max="4" width="9.6640625" customWidth="1"/>
    <col min="5" max="5" width="18.44140625" customWidth="1"/>
    <col min="6" max="7" width="8.6640625" customWidth="1"/>
    <col min="8" max="8" width="10.6640625" customWidth="1"/>
    <col min="9" max="9" width="9.109375" bestFit="1" customWidth="1"/>
    <col min="10" max="10" width="10.6640625" customWidth="1"/>
    <col min="11" max="12" width="8.6640625" customWidth="1"/>
    <col min="13" max="13" width="9" customWidth="1"/>
    <col min="14" max="14" width="9.44140625" customWidth="1"/>
    <col min="15" max="15" width="8.6640625" style="1" customWidth="1"/>
    <col min="25" max="26" width="16" bestFit="1" customWidth="1"/>
    <col min="27" max="27" width="9.5546875" bestFit="1" customWidth="1"/>
    <col min="32" max="32" width="10.5546875" bestFit="1" customWidth="1"/>
  </cols>
  <sheetData>
    <row r="1" spans="1:39" x14ac:dyDescent="0.3">
      <c r="A1" s="47" t="s">
        <v>131</v>
      </c>
      <c r="B1" s="47"/>
      <c r="C1" s="47"/>
      <c r="D1" s="47"/>
      <c r="E1" s="47"/>
      <c r="F1" s="47"/>
      <c r="G1" s="47"/>
      <c r="H1" s="47"/>
      <c r="I1" s="47"/>
      <c r="J1" s="47"/>
      <c r="K1" s="47"/>
      <c r="L1" s="47"/>
      <c r="M1" s="47"/>
      <c r="N1" s="47"/>
      <c r="O1" s="50"/>
      <c r="P1" s="47"/>
      <c r="Q1" s="47"/>
      <c r="R1" s="47"/>
      <c r="S1" s="56"/>
      <c r="T1" s="31"/>
      <c r="U1" s="32"/>
      <c r="V1" s="32"/>
      <c r="W1" s="32"/>
      <c r="X1" s="32"/>
      <c r="Y1" s="34" t="s">
        <v>43</v>
      </c>
      <c r="Z1" s="32"/>
      <c r="AA1" s="32"/>
      <c r="AB1" s="32"/>
      <c r="AC1" s="32"/>
      <c r="AD1" s="32"/>
      <c r="AE1" s="52"/>
    </row>
    <row r="2" spans="1:39" x14ac:dyDescent="0.3">
      <c r="A2" s="47"/>
      <c r="B2" s="47"/>
      <c r="C2" s="47"/>
      <c r="D2" s="47"/>
      <c r="E2" s="47"/>
      <c r="F2" s="47"/>
      <c r="G2" s="47"/>
      <c r="H2" s="47"/>
      <c r="I2" s="47"/>
      <c r="J2" s="47"/>
      <c r="K2" s="47"/>
      <c r="L2" s="47"/>
      <c r="M2" s="47"/>
      <c r="N2" s="47"/>
      <c r="O2" s="50"/>
      <c r="P2" s="47"/>
      <c r="Q2" s="47"/>
      <c r="R2" s="47"/>
      <c r="S2" s="56"/>
      <c r="T2" s="31"/>
      <c r="U2" s="32"/>
      <c r="V2" s="32"/>
      <c r="W2" s="32"/>
      <c r="X2" s="32"/>
      <c r="Y2" s="41">
        <f>MIN(N10:N27)</f>
        <v>54.252336448598129</v>
      </c>
      <c r="Z2" s="32"/>
      <c r="AA2" s="32"/>
      <c r="AB2" s="32"/>
      <c r="AC2" s="32"/>
      <c r="AD2" s="32"/>
      <c r="AE2" s="52"/>
    </row>
    <row r="3" spans="1:39" ht="18" x14ac:dyDescent="0.35">
      <c r="A3" s="18">
        <v>0</v>
      </c>
      <c r="B3" s="51" t="s">
        <v>52</v>
      </c>
      <c r="C3" s="47"/>
      <c r="D3" s="47"/>
      <c r="E3" s="47"/>
      <c r="F3" s="47"/>
      <c r="G3" s="47"/>
      <c r="H3" s="47"/>
      <c r="I3" s="47"/>
      <c r="J3" s="47"/>
      <c r="K3" s="47"/>
      <c r="L3" s="47"/>
      <c r="M3" s="47"/>
      <c r="N3" s="47"/>
      <c r="O3" s="50"/>
      <c r="P3" s="47"/>
      <c r="Q3" s="47"/>
      <c r="R3" s="47"/>
      <c r="S3" s="56"/>
      <c r="T3" s="31"/>
      <c r="U3" s="32"/>
      <c r="V3" s="32"/>
      <c r="W3" s="32"/>
      <c r="X3" s="32"/>
      <c r="Y3" s="32"/>
      <c r="Z3" s="32"/>
      <c r="AA3" s="32"/>
      <c r="AB3" s="32"/>
      <c r="AC3" s="32"/>
      <c r="AD3" s="32"/>
      <c r="AE3" s="52"/>
    </row>
    <row r="4" spans="1:39" x14ac:dyDescent="0.3">
      <c r="A4" s="47"/>
      <c r="B4" s="47"/>
      <c r="C4" s="47"/>
      <c r="D4" s="47"/>
      <c r="E4" s="47"/>
      <c r="F4" s="47"/>
      <c r="G4" s="47"/>
      <c r="H4" s="47"/>
      <c r="I4" s="47"/>
      <c r="J4" s="47"/>
      <c r="K4" s="47"/>
      <c r="L4" s="47"/>
      <c r="M4" s="47"/>
      <c r="N4" s="47"/>
      <c r="O4" s="50"/>
      <c r="P4" s="47"/>
      <c r="Q4" s="47"/>
      <c r="R4" s="47"/>
      <c r="S4" s="56"/>
      <c r="T4" s="31"/>
      <c r="U4" s="32"/>
      <c r="V4" s="32"/>
      <c r="W4" s="32"/>
      <c r="X4" s="32"/>
      <c r="Y4" s="32"/>
      <c r="Z4" s="32"/>
      <c r="AA4" s="32"/>
      <c r="AB4" s="32"/>
      <c r="AC4" s="32"/>
      <c r="AD4" s="32"/>
      <c r="AE4" s="52"/>
    </row>
    <row r="5" spans="1:39" ht="31.2" x14ac:dyDescent="0.6">
      <c r="A5" s="94" t="s">
        <v>151</v>
      </c>
      <c r="B5" s="94"/>
      <c r="C5" s="94"/>
      <c r="D5" s="94"/>
      <c r="E5" s="94"/>
      <c r="F5" s="94"/>
      <c r="G5" s="94"/>
      <c r="H5" s="94"/>
      <c r="I5" s="94"/>
      <c r="J5" s="94"/>
      <c r="K5" s="94"/>
      <c r="L5" s="94"/>
      <c r="M5" s="94"/>
      <c r="N5" s="94"/>
      <c r="O5" s="94"/>
      <c r="P5" s="47"/>
      <c r="Q5" s="47"/>
      <c r="R5" s="47"/>
      <c r="S5" s="56"/>
      <c r="T5" s="33"/>
      <c r="U5" s="32"/>
      <c r="V5" s="32"/>
      <c r="W5" s="32"/>
      <c r="X5" s="32"/>
      <c r="Y5" s="32"/>
      <c r="Z5" s="32" t="s">
        <v>59</v>
      </c>
      <c r="AA5" s="32"/>
      <c r="AB5" s="32"/>
      <c r="AC5" s="32"/>
      <c r="AD5" s="32"/>
      <c r="AE5" s="52"/>
    </row>
    <row r="6" spans="1:39" s="8" customFormat="1" ht="18.600000000000001" thickBot="1" x14ac:dyDescent="0.4">
      <c r="A6" s="95" t="s">
        <v>167</v>
      </c>
      <c r="B6" s="95"/>
      <c r="C6" s="95"/>
      <c r="D6" s="95"/>
      <c r="E6" s="95"/>
      <c r="F6" s="95"/>
      <c r="G6" s="95"/>
      <c r="H6" s="95"/>
      <c r="I6" s="95"/>
      <c r="J6" s="95"/>
      <c r="K6" s="95"/>
      <c r="L6" s="95"/>
      <c r="M6" s="95"/>
      <c r="N6" s="95"/>
      <c r="O6" s="95"/>
      <c r="P6" s="48"/>
      <c r="Q6" s="48"/>
      <c r="R6" s="48"/>
      <c r="S6" s="57"/>
      <c r="T6" s="33"/>
      <c r="U6" s="34"/>
      <c r="V6" s="34"/>
      <c r="W6" s="34"/>
      <c r="X6" s="34"/>
      <c r="Y6" s="35" t="s">
        <v>58</v>
      </c>
      <c r="Z6" s="34" t="s">
        <v>60</v>
      </c>
      <c r="AA6" s="36"/>
      <c r="AB6" s="34"/>
      <c r="AC6" s="34"/>
      <c r="AD6" s="34"/>
      <c r="AE6" s="53"/>
    </row>
    <row r="7" spans="1:39" ht="18" customHeight="1" thickTop="1" x14ac:dyDescent="0.3">
      <c r="A7" s="96"/>
      <c r="B7" s="96"/>
      <c r="C7" s="96"/>
      <c r="D7" s="96"/>
      <c r="E7" s="96"/>
      <c r="F7" s="96"/>
      <c r="G7" s="96"/>
      <c r="H7" s="96"/>
      <c r="I7" s="96"/>
      <c r="J7" s="96"/>
      <c r="K7" s="96"/>
      <c r="L7" s="96"/>
      <c r="M7" s="96"/>
      <c r="N7" s="96"/>
      <c r="O7" s="96"/>
      <c r="P7" s="23" t="s">
        <v>31</v>
      </c>
      <c r="Q7" s="23" t="s">
        <v>31</v>
      </c>
      <c r="R7" s="49" t="s">
        <v>55</v>
      </c>
      <c r="S7" s="58"/>
      <c r="T7" s="97" t="s">
        <v>50</v>
      </c>
      <c r="U7" s="98"/>
      <c r="V7" s="99"/>
      <c r="W7" s="32"/>
      <c r="X7" s="32"/>
      <c r="Y7" s="36" t="s">
        <v>56</v>
      </c>
      <c r="Z7" s="36" t="s">
        <v>56</v>
      </c>
      <c r="AA7" s="36"/>
      <c r="AB7" s="32"/>
      <c r="AC7" s="54" t="s">
        <v>72</v>
      </c>
      <c r="AD7" s="32"/>
      <c r="AE7" s="52"/>
    </row>
    <row r="8" spans="1:39" s="8" customFormat="1" ht="18" x14ac:dyDescent="0.35">
      <c r="A8" s="17"/>
      <c r="B8" s="17"/>
      <c r="C8" s="16"/>
      <c r="D8" s="16"/>
      <c r="E8" s="16"/>
      <c r="F8" s="16"/>
      <c r="G8" s="100" t="s">
        <v>49</v>
      </c>
      <c r="H8" s="100"/>
      <c r="I8" s="100" t="s">
        <v>48</v>
      </c>
      <c r="J8" s="100"/>
      <c r="K8" s="100" t="s">
        <v>47</v>
      </c>
      <c r="L8" s="100"/>
      <c r="M8" s="91" t="s">
        <v>46</v>
      </c>
      <c r="N8" s="91" t="s">
        <v>45</v>
      </c>
      <c r="O8" s="19"/>
      <c r="P8" s="24" t="s">
        <v>29</v>
      </c>
      <c r="Q8" s="24" t="s">
        <v>29</v>
      </c>
      <c r="R8" s="22" t="s">
        <v>53</v>
      </c>
      <c r="S8" s="59"/>
      <c r="T8" s="37" t="s">
        <v>44</v>
      </c>
      <c r="U8" s="35"/>
      <c r="V8" s="38"/>
      <c r="W8" s="32"/>
      <c r="X8" s="34"/>
      <c r="Y8" s="39" t="s">
        <v>57</v>
      </c>
      <c r="Z8" s="35"/>
      <c r="AA8" s="35"/>
      <c r="AB8" s="35"/>
      <c r="AC8" s="35">
        <f>MAX(AC10:AC27)</f>
        <v>7</v>
      </c>
      <c r="AD8" s="35"/>
      <c r="AE8" s="53"/>
    </row>
    <row r="9" spans="1:39" s="8" customFormat="1" ht="18.600000000000001" thickBot="1" x14ac:dyDescent="0.4">
      <c r="A9" s="15" t="s">
        <v>42</v>
      </c>
      <c r="B9" s="15" t="s">
        <v>41</v>
      </c>
      <c r="C9" s="91" t="s">
        <v>40</v>
      </c>
      <c r="D9" s="91" t="s">
        <v>39</v>
      </c>
      <c r="E9" s="91" t="s">
        <v>38</v>
      </c>
      <c r="F9" s="91" t="s">
        <v>37</v>
      </c>
      <c r="G9" s="91" t="s">
        <v>36</v>
      </c>
      <c r="H9" s="91" t="s">
        <v>35</v>
      </c>
      <c r="I9" s="91" t="s">
        <v>36</v>
      </c>
      <c r="J9" s="91" t="s">
        <v>35</v>
      </c>
      <c r="K9" s="91" t="s">
        <v>34</v>
      </c>
      <c r="L9" s="91" t="s">
        <v>33</v>
      </c>
      <c r="M9" s="91" t="s">
        <v>32</v>
      </c>
      <c r="N9" s="91" t="s">
        <v>31</v>
      </c>
      <c r="O9" s="19" t="s">
        <v>30</v>
      </c>
      <c r="P9" s="25" t="s">
        <v>43</v>
      </c>
      <c r="Q9" s="26" t="s">
        <v>66</v>
      </c>
      <c r="R9" s="22" t="s">
        <v>54</v>
      </c>
      <c r="S9" s="59"/>
      <c r="T9" s="40" t="s">
        <v>28</v>
      </c>
      <c r="U9" s="35"/>
      <c r="V9" s="38"/>
      <c r="W9" s="32"/>
      <c r="X9" s="34"/>
      <c r="Y9" s="35"/>
      <c r="Z9" s="35"/>
      <c r="AA9" s="35"/>
      <c r="AB9" s="32"/>
      <c r="AC9" s="32"/>
      <c r="AD9" s="32"/>
      <c r="AE9" s="52"/>
      <c r="AF9"/>
      <c r="AG9"/>
      <c r="AH9"/>
      <c r="AI9"/>
      <c r="AJ9"/>
      <c r="AK9"/>
      <c r="AL9"/>
      <c r="AM9"/>
    </row>
    <row r="10" spans="1:39" s="8" customFormat="1" ht="30" customHeight="1" thickTop="1" x14ac:dyDescent="0.35">
      <c r="A10" s="65" t="s">
        <v>68</v>
      </c>
      <c r="B10" s="65" t="s">
        <v>61</v>
      </c>
      <c r="C10" s="65"/>
      <c r="D10" s="65"/>
      <c r="E10" s="66" t="s">
        <v>73</v>
      </c>
      <c r="F10" s="66">
        <v>2792</v>
      </c>
      <c r="G10" s="66">
        <v>170</v>
      </c>
      <c r="H10" s="11">
        <f t="shared" ref="H10:H17" si="0">IFERROR(G10+15,"")</f>
        <v>185</v>
      </c>
      <c r="I10" s="14">
        <f t="shared" ref="I10:I17" si="1">IF(T10 = "s",1000/(900+G10),"")</f>
        <v>0.93457943925233644</v>
      </c>
      <c r="J10" s="14" t="str">
        <f>IF(T10 ="n",1000/(900+H10),"")</f>
        <v/>
      </c>
      <c r="K10" s="27" t="str">
        <f>IF($AK10&gt;0,(VLOOKUP($B10,'Finish Times'!$A$10:$G$40,6,FALSE)),"")</f>
        <v/>
      </c>
      <c r="L10" s="11" t="str">
        <f>IF($AK10&gt;0,(VLOOKUP($B10,'Finish Times'!$A$10:$G$40,7,FALSE)),"")</f>
        <v/>
      </c>
      <c r="M10" s="12" t="str">
        <f>IF(AK10&gt;0,(K10+L10/60)-A$3," ")</f>
        <v xml:space="preserve"> </v>
      </c>
      <c r="N10" s="12" t="str">
        <f t="shared" ref="N10:O27" si="2">IFERROR(U10," ")</f>
        <v/>
      </c>
      <c r="O10" s="11" t="str">
        <f t="shared" si="2"/>
        <v/>
      </c>
      <c r="P10" s="28" t="str">
        <f t="shared" ref="P10:P27" si="3">IFERROR(N10-$Y$2,"")</f>
        <v/>
      </c>
      <c r="Q10" s="62" t="s">
        <v>67</v>
      </c>
      <c r="R10" s="30" t="str">
        <f t="shared" ref="R10:R17" si="4">IFERROR(ROUND((1000/Y10)-900,0),"")</f>
        <v/>
      </c>
      <c r="S10" s="60"/>
      <c r="T10" s="69" t="s">
        <v>7</v>
      </c>
      <c r="U10" s="42" t="str">
        <f>IFERROR(IF(M10&gt;0,IF(T10="s",M10*I10,0)+IF(T10="n",M10*J10,0)," "),"")</f>
        <v/>
      </c>
      <c r="V10" s="42" t="str">
        <f t="shared" ref="V10:V27" si="5">IFERROR(RANK(N10,$N$10:$N$27,1),"")</f>
        <v/>
      </c>
      <c r="W10" s="34"/>
      <c r="X10" s="34"/>
      <c r="Y10" s="43" t="str">
        <f t="shared" ref="Y10:Y27" si="6">IFERROR($Y$2/M10,"")</f>
        <v/>
      </c>
      <c r="Z10" s="44" t="str">
        <f>IFERROR(M10*Y10,"")</f>
        <v/>
      </c>
      <c r="AA10" s="34"/>
      <c r="AB10" s="45">
        <v>1</v>
      </c>
      <c r="AC10" s="45" t="s">
        <v>67</v>
      </c>
      <c r="AD10" s="61" t="s">
        <v>67</v>
      </c>
      <c r="AE10" s="61" t="s">
        <v>67</v>
      </c>
      <c r="AF10"/>
      <c r="AG10"/>
      <c r="AH10" s="27">
        <v>55</v>
      </c>
      <c r="AI10" s="11">
        <v>39</v>
      </c>
      <c r="AJ10"/>
      <c r="AK10" s="11">
        <f>(VLOOKUP($B10,'Finish Times'!$A$10:$G$40,6,FALSE))</f>
        <v>0</v>
      </c>
      <c r="AL10"/>
      <c r="AM10"/>
    </row>
    <row r="11" spans="1:39" s="8" customFormat="1" ht="30" customHeight="1" x14ac:dyDescent="0.35">
      <c r="A11" s="65" t="s">
        <v>74</v>
      </c>
      <c r="B11" s="65" t="s">
        <v>75</v>
      </c>
      <c r="C11" s="65"/>
      <c r="D11" s="65"/>
      <c r="E11" s="66" t="s">
        <v>73</v>
      </c>
      <c r="F11" s="66">
        <v>1024</v>
      </c>
      <c r="G11" s="66">
        <v>170</v>
      </c>
      <c r="H11" s="11">
        <f t="shared" si="0"/>
        <v>185</v>
      </c>
      <c r="I11" s="14">
        <f t="shared" si="1"/>
        <v>0.93457943925233644</v>
      </c>
      <c r="J11" s="14" t="str">
        <f>IF(T11 ="n",1000/(900+H11),"")</f>
        <v/>
      </c>
      <c r="K11" s="27" t="str">
        <f>IF($AK11&gt;0,(VLOOKUP($B11,'Finish Times'!$A$10:$G$40,6,FALSE)),"")</f>
        <v/>
      </c>
      <c r="L11" s="11" t="str">
        <f>IF($AK11&gt;0,(VLOOKUP($B11,'Finish Times'!$A$10:$G$40,7,FALSE)),"")</f>
        <v/>
      </c>
      <c r="M11" s="12" t="str">
        <f t="shared" ref="M11:M17" si="7">IF(AK11&gt;0,(K11+L11/60)-A$3," ")</f>
        <v xml:space="preserve"> </v>
      </c>
      <c r="N11" s="12" t="str">
        <f t="shared" si="2"/>
        <v/>
      </c>
      <c r="O11" s="11" t="str">
        <f t="shared" si="2"/>
        <v/>
      </c>
      <c r="P11" s="29" t="str">
        <f t="shared" si="3"/>
        <v/>
      </c>
      <c r="Q11" s="62" t="s">
        <v>67</v>
      </c>
      <c r="R11" s="30" t="str">
        <f t="shared" si="4"/>
        <v/>
      </c>
      <c r="S11" s="60"/>
      <c r="T11" s="69" t="s">
        <v>7</v>
      </c>
      <c r="U11" s="42" t="str">
        <f t="shared" ref="U11:U27" si="8">IFERROR(IF(M11&gt;0,IF(T11="s",M11*I11,0)+IF(T11="n",M11*J11,0)," "),"")</f>
        <v/>
      </c>
      <c r="V11" s="42" t="str">
        <f t="shared" si="5"/>
        <v/>
      </c>
      <c r="W11" s="34"/>
      <c r="X11" s="34"/>
      <c r="Y11" s="43" t="str">
        <f t="shared" si="6"/>
        <v/>
      </c>
      <c r="Z11" s="44" t="str">
        <f t="shared" ref="Z11:Z27" si="9">IFERROR(M11*Y11,"")</f>
        <v/>
      </c>
      <c r="AA11" s="34"/>
      <c r="AB11" s="45">
        <v>2</v>
      </c>
      <c r="AC11" s="45" t="s">
        <v>67</v>
      </c>
      <c r="AD11" s="61" t="s">
        <v>67</v>
      </c>
      <c r="AE11" s="61" t="s">
        <v>67</v>
      </c>
      <c r="AF11"/>
      <c r="AG11"/>
      <c r="AH11" s="27">
        <v>56</v>
      </c>
      <c r="AI11" s="11">
        <v>22</v>
      </c>
      <c r="AJ11"/>
      <c r="AK11" s="11">
        <f>(VLOOKUP($B11,'Finish Times'!$A$10:$G$40,6,FALSE))</f>
        <v>0</v>
      </c>
      <c r="AL11"/>
      <c r="AM11"/>
    </row>
    <row r="12" spans="1:39" s="8" customFormat="1" ht="30" customHeight="1" x14ac:dyDescent="0.35">
      <c r="A12" s="65" t="s">
        <v>69</v>
      </c>
      <c r="B12" s="65" t="s">
        <v>62</v>
      </c>
      <c r="C12" s="65"/>
      <c r="D12" s="65"/>
      <c r="E12" s="66" t="s">
        <v>73</v>
      </c>
      <c r="F12" s="66">
        <v>1742</v>
      </c>
      <c r="G12" s="66">
        <v>170</v>
      </c>
      <c r="H12" s="11">
        <f t="shared" si="0"/>
        <v>185</v>
      </c>
      <c r="I12" s="14">
        <f t="shared" si="1"/>
        <v>0.93457943925233644</v>
      </c>
      <c r="J12" s="14" t="str">
        <f>IF(T12 ="n",1000/(900+H12),"")</f>
        <v/>
      </c>
      <c r="K12" s="27">
        <f>IF($AK12&gt;0,(VLOOKUP($B12,'Finish Times'!$A$10:$G$40,6,FALSE)),"")</f>
        <v>62</v>
      </c>
      <c r="L12" s="11">
        <f>IF($AK12&gt;0,(VLOOKUP($B12,'Finish Times'!$A$10:$G$40,7,FALSE)),"")</f>
        <v>55</v>
      </c>
      <c r="M12" s="12">
        <f t="shared" si="7"/>
        <v>62.916666666666664</v>
      </c>
      <c r="N12" s="12">
        <f t="shared" si="2"/>
        <v>58.800623052959502</v>
      </c>
      <c r="O12" s="11">
        <f t="shared" si="2"/>
        <v>2</v>
      </c>
      <c r="P12" s="29">
        <f t="shared" si="3"/>
        <v>4.5482866043613726</v>
      </c>
      <c r="Q12" s="62">
        <v>4.5482866043613726</v>
      </c>
      <c r="R12" s="30">
        <f t="shared" si="4"/>
        <v>260</v>
      </c>
      <c r="S12" s="60"/>
      <c r="T12" s="69" t="s">
        <v>7</v>
      </c>
      <c r="U12" s="42">
        <f t="shared" si="8"/>
        <v>58.800623052959502</v>
      </c>
      <c r="V12" s="42">
        <f t="shared" si="5"/>
        <v>2</v>
      </c>
      <c r="W12" s="34"/>
      <c r="X12" s="34"/>
      <c r="Y12" s="43">
        <f t="shared" si="6"/>
        <v>0.86228879123599678</v>
      </c>
      <c r="Z12" s="44">
        <f t="shared" si="9"/>
        <v>54.252336448598129</v>
      </c>
      <c r="AA12" s="34"/>
      <c r="AB12" s="45">
        <v>3</v>
      </c>
      <c r="AC12" s="45">
        <v>2</v>
      </c>
      <c r="AD12" s="61">
        <v>4.5482866043613726</v>
      </c>
      <c r="AE12" s="61">
        <v>4.5482866043613726</v>
      </c>
      <c r="AF12"/>
      <c r="AG12"/>
      <c r="AH12" s="27">
        <v>54</v>
      </c>
      <c r="AI12" s="11">
        <v>9</v>
      </c>
      <c r="AJ12"/>
      <c r="AK12" s="11">
        <f>(VLOOKUP($B12,'Finish Times'!$A$10:$G$40,6,FALSE))</f>
        <v>62</v>
      </c>
      <c r="AL12"/>
      <c r="AM12"/>
    </row>
    <row r="13" spans="1:39" s="8" customFormat="1" ht="30" customHeight="1" x14ac:dyDescent="0.35">
      <c r="A13" s="65" t="s">
        <v>70</v>
      </c>
      <c r="B13" s="65" t="s">
        <v>65</v>
      </c>
      <c r="C13" s="65"/>
      <c r="D13" s="65"/>
      <c r="E13" s="66" t="s">
        <v>73</v>
      </c>
      <c r="F13" s="66">
        <v>3511</v>
      </c>
      <c r="G13" s="66">
        <v>170</v>
      </c>
      <c r="H13" s="11">
        <f t="shared" si="0"/>
        <v>185</v>
      </c>
      <c r="I13" s="14">
        <f t="shared" si="1"/>
        <v>0.93457943925233644</v>
      </c>
      <c r="J13" s="14" t="str">
        <f>IF(T13 ="n",1000/(900+H13),"")</f>
        <v/>
      </c>
      <c r="K13" s="27">
        <f>IF($AK13&gt;0,(VLOOKUP($B13,'Finish Times'!$A$10:$G$40,6,FALSE)),"")</f>
        <v>58</v>
      </c>
      <c r="L13" s="11">
        <f>IF($AK13&gt;0,(VLOOKUP($B13,'Finish Times'!$A$10:$G$40,7,FALSE)),"")</f>
        <v>3</v>
      </c>
      <c r="M13" s="12">
        <f t="shared" si="7"/>
        <v>58.05</v>
      </c>
      <c r="N13" s="12">
        <f t="shared" si="2"/>
        <v>54.252336448598129</v>
      </c>
      <c r="O13" s="11">
        <f t="shared" si="2"/>
        <v>1</v>
      </c>
      <c r="P13" s="29">
        <f t="shared" si="3"/>
        <v>0</v>
      </c>
      <c r="Q13" s="62"/>
      <c r="R13" s="30">
        <f t="shared" si="4"/>
        <v>170</v>
      </c>
      <c r="S13" s="60"/>
      <c r="T13" s="69" t="s">
        <v>7</v>
      </c>
      <c r="U13" s="42">
        <f t="shared" si="8"/>
        <v>54.252336448598129</v>
      </c>
      <c r="V13" s="42">
        <f t="shared" si="5"/>
        <v>1</v>
      </c>
      <c r="W13" s="34"/>
      <c r="X13" s="34"/>
      <c r="Y13" s="43">
        <f t="shared" si="6"/>
        <v>0.93457943925233644</v>
      </c>
      <c r="Z13" s="44">
        <f t="shared" si="9"/>
        <v>54.252336448598129</v>
      </c>
      <c r="AA13" s="34"/>
      <c r="AB13" s="45">
        <v>4</v>
      </c>
      <c r="AC13" s="45">
        <v>1</v>
      </c>
      <c r="AD13" s="61">
        <v>0</v>
      </c>
      <c r="AE13" s="61"/>
      <c r="AF13"/>
      <c r="AG13"/>
      <c r="AH13" s="27">
        <v>62</v>
      </c>
      <c r="AI13" s="11">
        <v>59</v>
      </c>
      <c r="AJ13"/>
      <c r="AK13" s="11">
        <f>(VLOOKUP($B13,'Finish Times'!$A$10:$G$40,6,FALSE))</f>
        <v>58</v>
      </c>
      <c r="AL13"/>
      <c r="AM13"/>
    </row>
    <row r="14" spans="1:39" s="8" customFormat="1" ht="30" customHeight="1" x14ac:dyDescent="0.35">
      <c r="A14" s="65" t="s">
        <v>76</v>
      </c>
      <c r="B14" s="65" t="s">
        <v>77</v>
      </c>
      <c r="C14" s="65"/>
      <c r="D14" s="65"/>
      <c r="E14" s="66" t="s">
        <v>73</v>
      </c>
      <c r="F14" s="66">
        <v>1248</v>
      </c>
      <c r="G14" s="66">
        <v>170</v>
      </c>
      <c r="H14" s="11">
        <f t="shared" si="0"/>
        <v>185</v>
      </c>
      <c r="I14" s="14">
        <f t="shared" si="1"/>
        <v>0.93457943925233644</v>
      </c>
      <c r="J14" s="14" t="str">
        <f t="shared" ref="J14:J17" si="10">IF(T14 ="n",1000/(900+H14),"")</f>
        <v/>
      </c>
      <c r="K14" s="27" t="str">
        <f>IF($AK14&gt;0,(VLOOKUP($B14,'Finish Times'!$A$10:$G$40,6,FALSE)),"")</f>
        <v/>
      </c>
      <c r="L14" s="11" t="str">
        <f>IF($AK14&gt;0,(VLOOKUP($B14,'Finish Times'!$A$10:$G$40,7,FALSE)),"")</f>
        <v/>
      </c>
      <c r="M14" s="12" t="str">
        <f t="shared" si="7"/>
        <v xml:space="preserve"> </v>
      </c>
      <c r="N14" s="12" t="str">
        <f t="shared" si="2"/>
        <v/>
      </c>
      <c r="O14" s="11" t="str">
        <f t="shared" si="2"/>
        <v/>
      </c>
      <c r="P14" s="29" t="str">
        <f t="shared" si="3"/>
        <v/>
      </c>
      <c r="Q14" s="62" t="s">
        <v>67</v>
      </c>
      <c r="R14" s="30" t="str">
        <f t="shared" si="4"/>
        <v/>
      </c>
      <c r="S14" s="60"/>
      <c r="T14" s="69" t="s">
        <v>7</v>
      </c>
      <c r="U14" s="42" t="str">
        <f t="shared" si="8"/>
        <v/>
      </c>
      <c r="V14" s="42" t="str">
        <f t="shared" si="5"/>
        <v/>
      </c>
      <c r="W14" s="34"/>
      <c r="X14" s="34"/>
      <c r="Y14" s="43" t="str">
        <f t="shared" si="6"/>
        <v/>
      </c>
      <c r="Z14" s="44" t="str">
        <f t="shared" si="9"/>
        <v/>
      </c>
      <c r="AA14" s="34"/>
      <c r="AB14" s="45">
        <v>5</v>
      </c>
      <c r="AC14" s="45" t="s">
        <v>67</v>
      </c>
      <c r="AD14" s="61" t="s">
        <v>67</v>
      </c>
      <c r="AE14" s="61" t="s">
        <v>67</v>
      </c>
      <c r="AF14"/>
      <c r="AG14"/>
      <c r="AH14" s="27">
        <v>59</v>
      </c>
      <c r="AI14" s="11">
        <v>12</v>
      </c>
      <c r="AJ14"/>
      <c r="AK14" s="11">
        <f>(VLOOKUP($B14,'Finish Times'!$A$10:$G$40,6,FALSE))</f>
        <v>0</v>
      </c>
      <c r="AL14"/>
      <c r="AM14"/>
    </row>
    <row r="15" spans="1:39" s="8" customFormat="1" ht="30" customHeight="1" x14ac:dyDescent="0.35">
      <c r="A15" s="65" t="s">
        <v>156</v>
      </c>
      <c r="B15" s="65" t="s">
        <v>157</v>
      </c>
      <c r="C15" s="65"/>
      <c r="D15" s="65"/>
      <c r="E15" s="66" t="s">
        <v>158</v>
      </c>
      <c r="F15" s="66">
        <v>556</v>
      </c>
      <c r="G15" s="66">
        <v>218</v>
      </c>
      <c r="H15" s="11">
        <f t="shared" si="0"/>
        <v>233</v>
      </c>
      <c r="I15" s="14">
        <f t="shared" si="1"/>
        <v>0.89445438282647582</v>
      </c>
      <c r="J15" s="14" t="str">
        <f t="shared" si="10"/>
        <v/>
      </c>
      <c r="K15" s="27">
        <f>IF($AK15&gt;0,(VLOOKUP($B15,'Finish Times'!$A$10:$G$40,6,FALSE)),"")</f>
        <v>170</v>
      </c>
      <c r="L15" s="11">
        <f>IF($AK15&gt;0,(VLOOKUP($B15,'Finish Times'!$A$10:$G$40,7,FALSE)),"")</f>
        <v>5</v>
      </c>
      <c r="M15" s="12">
        <f t="shared" si="7"/>
        <v>170.08333333333334</v>
      </c>
      <c r="N15" s="12">
        <f t="shared" si="2"/>
        <v>152.13178294573643</v>
      </c>
      <c r="O15" s="11">
        <f t="shared" si="2"/>
        <v>7</v>
      </c>
      <c r="P15" s="29">
        <f t="shared" si="3"/>
        <v>97.879446497138304</v>
      </c>
      <c r="Q15" s="62">
        <v>29.387201809239656</v>
      </c>
      <c r="R15" s="30">
        <f t="shared" si="4"/>
        <v>2235</v>
      </c>
      <c r="S15" s="60"/>
      <c r="T15" s="69" t="s">
        <v>7</v>
      </c>
      <c r="U15" s="42">
        <f t="shared" si="8"/>
        <v>152.13178294573643</v>
      </c>
      <c r="V15" s="42">
        <f t="shared" si="5"/>
        <v>7</v>
      </c>
      <c r="W15" s="34"/>
      <c r="X15" s="34"/>
      <c r="Y15" s="43">
        <f t="shared" si="6"/>
        <v>0.31897503056500615</v>
      </c>
      <c r="Z15" s="44">
        <f t="shared" si="9"/>
        <v>54.252336448598129</v>
      </c>
      <c r="AA15" s="34"/>
      <c r="AB15" s="45">
        <v>6</v>
      </c>
      <c r="AC15" s="45">
        <v>7</v>
      </c>
      <c r="AD15" s="61">
        <v>97.879446497138304</v>
      </c>
      <c r="AE15" s="61">
        <v>29.387201809239656</v>
      </c>
      <c r="AF15"/>
      <c r="AG15"/>
      <c r="AH15" s="27">
        <v>56</v>
      </c>
      <c r="AI15" s="11">
        <v>58</v>
      </c>
      <c r="AJ15"/>
      <c r="AK15" s="11">
        <f>(VLOOKUP($B15,'Finish Times'!$A$10:$G$40,6,FALSE))</f>
        <v>170</v>
      </c>
      <c r="AL15"/>
      <c r="AM15"/>
    </row>
    <row r="16" spans="1:39" s="8" customFormat="1" ht="30" customHeight="1" x14ac:dyDescent="0.35">
      <c r="A16" s="65" t="s">
        <v>71</v>
      </c>
      <c r="B16" s="67" t="s">
        <v>63</v>
      </c>
      <c r="C16" s="65"/>
      <c r="D16" s="65"/>
      <c r="E16" s="66" t="s">
        <v>64</v>
      </c>
      <c r="F16" s="66">
        <v>826</v>
      </c>
      <c r="G16" s="66">
        <v>177</v>
      </c>
      <c r="H16" s="11">
        <f t="shared" si="0"/>
        <v>192</v>
      </c>
      <c r="I16" s="14">
        <f t="shared" si="1"/>
        <v>0.92850510677808729</v>
      </c>
      <c r="J16" s="14" t="str">
        <f t="shared" si="10"/>
        <v/>
      </c>
      <c r="K16" s="27">
        <f>IF($AK16&gt;0,(VLOOKUP($B16,'Finish Times'!$A$10:$G$40,6,FALSE)),"")</f>
        <v>65</v>
      </c>
      <c r="L16" s="11">
        <f>IF($AK16&gt;0,(VLOOKUP($B16,'Finish Times'!$A$10:$G$40,7,FALSE)),"")</f>
        <v>20</v>
      </c>
      <c r="M16" s="12">
        <f t="shared" si="7"/>
        <v>65.333333333333329</v>
      </c>
      <c r="N16" s="12">
        <f t="shared" si="2"/>
        <v>60.66233364283503</v>
      </c>
      <c r="O16" s="11">
        <f t="shared" si="2"/>
        <v>3</v>
      </c>
      <c r="P16" s="29">
        <f t="shared" si="3"/>
        <v>6.409997194236901</v>
      </c>
      <c r="Q16" s="62">
        <v>1.8617105898755284</v>
      </c>
      <c r="R16" s="30">
        <f t="shared" si="4"/>
        <v>304</v>
      </c>
      <c r="S16" s="60"/>
      <c r="T16" s="69" t="s">
        <v>7</v>
      </c>
      <c r="U16" s="42">
        <f t="shared" si="8"/>
        <v>60.66233364283503</v>
      </c>
      <c r="V16" s="42">
        <f t="shared" si="5"/>
        <v>3</v>
      </c>
      <c r="W16" s="34"/>
      <c r="X16" s="34"/>
      <c r="Y16" s="43">
        <f t="shared" si="6"/>
        <v>0.83039290482548167</v>
      </c>
      <c r="Z16" s="44">
        <f t="shared" si="9"/>
        <v>54.252336448598129</v>
      </c>
      <c r="AA16" s="34"/>
      <c r="AB16" s="45">
        <v>7</v>
      </c>
      <c r="AC16" s="45">
        <v>3</v>
      </c>
      <c r="AD16" s="61">
        <v>6.409997194236901</v>
      </c>
      <c r="AE16" s="61">
        <v>1.8617105898755284</v>
      </c>
      <c r="AF16"/>
      <c r="AG16"/>
      <c r="AH16" s="27">
        <v>64</v>
      </c>
      <c r="AI16" s="11">
        <v>47</v>
      </c>
      <c r="AJ16"/>
      <c r="AK16" s="11">
        <f>(VLOOKUP($B16,'Finish Times'!$A$10:$G$40,6,FALSE))</f>
        <v>65</v>
      </c>
      <c r="AL16"/>
      <c r="AM16"/>
    </row>
    <row r="17" spans="1:39" s="8" customFormat="1" ht="30" customHeight="1" x14ac:dyDescent="0.35">
      <c r="A17" s="65" t="s">
        <v>80</v>
      </c>
      <c r="B17" s="65" t="s">
        <v>137</v>
      </c>
      <c r="C17" s="65"/>
      <c r="D17" s="65"/>
      <c r="E17" s="66" t="s">
        <v>81</v>
      </c>
      <c r="F17" s="66">
        <v>119</v>
      </c>
      <c r="G17" s="66">
        <v>107</v>
      </c>
      <c r="H17" s="11">
        <f t="shared" si="0"/>
        <v>122</v>
      </c>
      <c r="I17" s="14">
        <f t="shared" si="1"/>
        <v>0.99304865938430986</v>
      </c>
      <c r="J17" s="14" t="str">
        <f t="shared" si="10"/>
        <v/>
      </c>
      <c r="K17" s="27" t="str">
        <f>IF($AK17&gt;0,(VLOOKUP($B17,'Finish Times'!$A$10:$G$40,6,FALSE)),"")</f>
        <v/>
      </c>
      <c r="L17" s="11" t="str">
        <f>IF($AK17&gt;0,(VLOOKUP($B17,'Finish Times'!$A$10:$G$40,7,FALSE)),"")</f>
        <v/>
      </c>
      <c r="M17" s="12" t="str">
        <f t="shared" si="7"/>
        <v xml:space="preserve"> </v>
      </c>
      <c r="N17" s="12" t="str">
        <f t="shared" si="2"/>
        <v/>
      </c>
      <c r="O17" s="11" t="str">
        <f t="shared" si="2"/>
        <v/>
      </c>
      <c r="P17" s="29" t="str">
        <f t="shared" si="3"/>
        <v/>
      </c>
      <c r="Q17" s="62" t="s">
        <v>67</v>
      </c>
      <c r="R17" s="30" t="str">
        <f t="shared" si="4"/>
        <v/>
      </c>
      <c r="S17" s="60"/>
      <c r="T17" s="69" t="s">
        <v>7</v>
      </c>
      <c r="U17" s="42" t="str">
        <f t="shared" si="8"/>
        <v/>
      </c>
      <c r="V17" s="42" t="str">
        <f t="shared" si="5"/>
        <v/>
      </c>
      <c r="W17" s="34"/>
      <c r="X17" s="34"/>
      <c r="Y17" s="43" t="str">
        <f t="shared" si="6"/>
        <v/>
      </c>
      <c r="Z17" s="44" t="str">
        <f t="shared" si="9"/>
        <v/>
      </c>
      <c r="AA17" s="34"/>
      <c r="AB17" s="45">
        <v>9</v>
      </c>
      <c r="AC17" s="45" t="s">
        <v>67</v>
      </c>
      <c r="AD17" s="61" t="s">
        <v>67</v>
      </c>
      <c r="AE17" s="61" t="s">
        <v>67</v>
      </c>
      <c r="AF17"/>
      <c r="AG17"/>
      <c r="AH17"/>
      <c r="AI17"/>
      <c r="AJ17"/>
      <c r="AK17" s="11">
        <f>(VLOOKUP($B17,'Finish Times'!$A$10:$G$40,6,FALSE))</f>
        <v>0</v>
      </c>
      <c r="AL17"/>
      <c r="AM17"/>
    </row>
    <row r="18" spans="1:39" s="8" customFormat="1" ht="30" customHeight="1" x14ac:dyDescent="0.35">
      <c r="A18" s="65" t="s">
        <v>27</v>
      </c>
      <c r="B18" s="65" t="s">
        <v>26</v>
      </c>
      <c r="C18" s="65"/>
      <c r="D18" s="65"/>
      <c r="E18" s="67" t="s">
        <v>25</v>
      </c>
      <c r="F18" s="66">
        <v>75</v>
      </c>
      <c r="G18" s="66">
        <v>208</v>
      </c>
      <c r="H18" s="11">
        <f t="shared" ref="H18:H25" si="11">IFERROR(G18+15,"")</f>
        <v>223</v>
      </c>
      <c r="I18" s="14">
        <f t="shared" ref="I18:I25" si="12">IF(T18 = "s",1000/(900+G18),"")</f>
        <v>0.90252707581227432</v>
      </c>
      <c r="J18" s="14" t="str">
        <f t="shared" ref="J18" si="13">IF(T18 ="n",1000/(900+H18),"")</f>
        <v/>
      </c>
      <c r="K18" s="27" t="str">
        <f>IF($AK18&gt;0,(VLOOKUP($B18,'Finish Times'!$A$10:$G$40,6,FALSE)),"")</f>
        <v/>
      </c>
      <c r="L18" s="11" t="str">
        <f>IF($AK18&gt;0,(VLOOKUP($B18,'Finish Times'!$A$10:$G$40,7,FALSE)),"")</f>
        <v/>
      </c>
      <c r="M18" s="12" t="str">
        <f t="shared" ref="M18" si="14">IF(AK18&gt;0,(K18+L18/60)-A$3," ")</f>
        <v xml:space="preserve"> </v>
      </c>
      <c r="N18" s="12" t="str">
        <f t="shared" ref="N18" si="15">IFERROR(U18," ")</f>
        <v/>
      </c>
      <c r="O18" s="11" t="s">
        <v>166</v>
      </c>
      <c r="P18" s="29" t="str">
        <f t="shared" ref="P18" si="16">IFERROR(N18-$Y$2,"")</f>
        <v/>
      </c>
      <c r="Q18" s="62" t="s">
        <v>67</v>
      </c>
      <c r="R18" s="30" t="str">
        <f t="shared" ref="R18:R27" si="17">IFERROR(ROUND((1000/Y18)-900,0),"")</f>
        <v/>
      </c>
      <c r="S18" s="60"/>
      <c r="T18" s="69" t="s">
        <v>7</v>
      </c>
      <c r="U18" s="42" t="str">
        <f t="shared" si="8"/>
        <v/>
      </c>
      <c r="V18" s="42" t="str">
        <f t="shared" si="5"/>
        <v/>
      </c>
      <c r="W18" s="34"/>
      <c r="X18" s="34"/>
      <c r="Y18" s="43" t="str">
        <f t="shared" si="6"/>
        <v/>
      </c>
      <c r="Z18" s="44" t="str">
        <f t="shared" si="9"/>
        <v/>
      </c>
      <c r="AA18" s="34"/>
      <c r="AB18" s="45">
        <v>10</v>
      </c>
      <c r="AC18" s="45" t="s">
        <v>67</v>
      </c>
      <c r="AD18" s="61" t="s">
        <v>67</v>
      </c>
      <c r="AE18" s="61" t="s">
        <v>67</v>
      </c>
      <c r="AF18"/>
      <c r="AG18"/>
      <c r="AH18"/>
      <c r="AI18"/>
      <c r="AJ18"/>
      <c r="AK18" s="11">
        <f>(VLOOKUP($B18,'Finish Times'!$A$10:$G$40,6,FALSE))</f>
        <v>0</v>
      </c>
      <c r="AL18"/>
      <c r="AM18"/>
    </row>
    <row r="19" spans="1:39" s="8" customFormat="1" ht="30" customHeight="1" x14ac:dyDescent="0.35">
      <c r="A19" s="65" t="s">
        <v>24</v>
      </c>
      <c r="B19" s="65" t="s">
        <v>23</v>
      </c>
      <c r="C19" s="65"/>
      <c r="D19" s="65"/>
      <c r="E19" s="67" t="s">
        <v>22</v>
      </c>
      <c r="F19" s="66">
        <v>1183</v>
      </c>
      <c r="G19" s="90">
        <v>216</v>
      </c>
      <c r="H19" s="11">
        <f t="shared" si="11"/>
        <v>231</v>
      </c>
      <c r="I19" s="14">
        <f t="shared" si="12"/>
        <v>0.89605734767025091</v>
      </c>
      <c r="J19" s="14" t="str">
        <f t="shared" ref="J19:J25" si="18">IF(T19 ="n",1000/(900+H19),"")</f>
        <v/>
      </c>
      <c r="K19" s="27" t="str">
        <f>IF($AK19&gt;0,(VLOOKUP($B19,'Finish Times'!$A$10:$G$40,6,FALSE)),"")</f>
        <v/>
      </c>
      <c r="L19" s="11" t="str">
        <f>IF($AK19&gt;0,(VLOOKUP($B19,'Finish Times'!$A$10:$G$40,7,FALSE)),"")</f>
        <v/>
      </c>
      <c r="M19" s="12" t="str">
        <f t="shared" ref="M19:M25" si="19">IF(AK19&gt;0,(K19+L19/60)-A$3," ")</f>
        <v xml:space="preserve"> </v>
      </c>
      <c r="N19" s="12" t="str">
        <f t="shared" ref="N19:N25" si="20">IFERROR(U19," ")</f>
        <v/>
      </c>
      <c r="O19" s="11" t="str">
        <f t="shared" ref="O19:O25" si="21">IFERROR(V19," ")</f>
        <v/>
      </c>
      <c r="P19" s="29" t="str">
        <f t="shared" ref="P19:P25" si="22">IFERROR(N19-$Y$2,"")</f>
        <v/>
      </c>
      <c r="Q19" s="62" t="s">
        <v>67</v>
      </c>
      <c r="R19" s="30" t="str">
        <f t="shared" si="17"/>
        <v/>
      </c>
      <c r="S19" s="60"/>
      <c r="T19" s="69" t="s">
        <v>7</v>
      </c>
      <c r="U19" s="42" t="str">
        <f t="shared" si="8"/>
        <v/>
      </c>
      <c r="V19" s="42" t="str">
        <f t="shared" si="5"/>
        <v/>
      </c>
      <c r="W19" s="34"/>
      <c r="X19" s="34"/>
      <c r="Y19" s="43" t="str">
        <f t="shared" si="6"/>
        <v/>
      </c>
      <c r="Z19" s="44" t="str">
        <f t="shared" si="9"/>
        <v/>
      </c>
      <c r="AA19" s="34"/>
      <c r="AB19" s="45">
        <v>11</v>
      </c>
      <c r="AC19" s="46" t="s">
        <v>67</v>
      </c>
      <c r="AD19" s="63" t="s">
        <v>67</v>
      </c>
      <c r="AE19" s="61" t="s">
        <v>67</v>
      </c>
      <c r="AK19" s="11">
        <f>(VLOOKUP($B19,'Finish Times'!$A$10:$G$40,6,FALSE))</f>
        <v>0</v>
      </c>
    </row>
    <row r="20" spans="1:39" s="8" customFormat="1" ht="30" customHeight="1" x14ac:dyDescent="0.35">
      <c r="A20" s="65" t="s">
        <v>21</v>
      </c>
      <c r="B20" s="65" t="s">
        <v>20</v>
      </c>
      <c r="C20" s="65"/>
      <c r="D20" s="65"/>
      <c r="E20" s="67" t="s">
        <v>19</v>
      </c>
      <c r="F20" s="66">
        <v>14755</v>
      </c>
      <c r="G20" s="66">
        <v>218</v>
      </c>
      <c r="H20" s="11">
        <f t="shared" si="11"/>
        <v>233</v>
      </c>
      <c r="I20" s="14">
        <f t="shared" si="12"/>
        <v>0.89445438282647582</v>
      </c>
      <c r="J20" s="14" t="str">
        <f t="shared" si="18"/>
        <v/>
      </c>
      <c r="K20" s="27" t="str">
        <f>IF($AK20&gt;0,(VLOOKUP($B20,'Finish Times'!$A$10:$G$40,6,FALSE)),"")</f>
        <v/>
      </c>
      <c r="L20" s="11" t="str">
        <f>IF($AK20&gt;0,(VLOOKUP($B20,'Finish Times'!$A$10:$G$40,7,FALSE)),"")</f>
        <v/>
      </c>
      <c r="M20" s="12" t="str">
        <f t="shared" si="19"/>
        <v xml:space="preserve"> </v>
      </c>
      <c r="N20" s="12" t="str">
        <f t="shared" si="20"/>
        <v/>
      </c>
      <c r="O20" s="11" t="str">
        <f t="shared" si="21"/>
        <v/>
      </c>
      <c r="P20" s="29" t="str">
        <f t="shared" si="22"/>
        <v/>
      </c>
      <c r="Q20" s="62" t="s">
        <v>67</v>
      </c>
      <c r="R20" s="30" t="str">
        <f t="shared" si="17"/>
        <v/>
      </c>
      <c r="S20" s="60"/>
      <c r="T20" s="69" t="s">
        <v>7</v>
      </c>
      <c r="U20" s="42" t="str">
        <f t="shared" si="8"/>
        <v/>
      </c>
      <c r="V20" s="42" t="str">
        <f t="shared" si="5"/>
        <v/>
      </c>
      <c r="W20" s="34"/>
      <c r="X20" s="34"/>
      <c r="Y20" s="43" t="str">
        <f t="shared" si="6"/>
        <v/>
      </c>
      <c r="Z20" s="44" t="str">
        <f t="shared" si="9"/>
        <v/>
      </c>
      <c r="AA20" s="34"/>
      <c r="AB20" s="45">
        <v>12</v>
      </c>
      <c r="AC20" s="46" t="s">
        <v>67</v>
      </c>
      <c r="AD20" s="63" t="s">
        <v>67</v>
      </c>
      <c r="AE20" s="61" t="s">
        <v>67</v>
      </c>
      <c r="AK20" s="11">
        <f>(VLOOKUP($B20,'Finish Times'!$A$10:$G$40,6,FALSE))</f>
        <v>0</v>
      </c>
    </row>
    <row r="21" spans="1:39" s="8" customFormat="1" ht="30" customHeight="1" x14ac:dyDescent="0.35">
      <c r="A21" s="65" t="s">
        <v>10</v>
      </c>
      <c r="B21" s="65" t="s">
        <v>9</v>
      </c>
      <c r="C21" s="65"/>
      <c r="D21" s="65"/>
      <c r="E21" s="67" t="s">
        <v>8</v>
      </c>
      <c r="F21" s="66">
        <v>1687</v>
      </c>
      <c r="G21" s="66">
        <v>224</v>
      </c>
      <c r="H21" s="11">
        <f t="shared" si="11"/>
        <v>239</v>
      </c>
      <c r="I21" s="14">
        <f t="shared" si="12"/>
        <v>0.88967971530249113</v>
      </c>
      <c r="J21" s="14" t="str">
        <f t="shared" si="18"/>
        <v/>
      </c>
      <c r="K21" s="27" t="str">
        <f>IF($AK21&gt;0,(VLOOKUP($B21,'Finish Times'!$A$10:$G$40,6,FALSE)),"")</f>
        <v/>
      </c>
      <c r="L21" s="11" t="str">
        <f>IF($AK21&gt;0,(VLOOKUP($B21,'Finish Times'!$A$10:$G$40,7,FALSE)),"")</f>
        <v/>
      </c>
      <c r="M21" s="12" t="str">
        <f t="shared" si="19"/>
        <v xml:space="preserve"> </v>
      </c>
      <c r="N21" s="12" t="str">
        <f t="shared" si="20"/>
        <v/>
      </c>
      <c r="O21" s="11" t="str">
        <f t="shared" si="21"/>
        <v/>
      </c>
      <c r="P21" s="29" t="str">
        <f t="shared" si="22"/>
        <v/>
      </c>
      <c r="Q21" s="62" t="s">
        <v>67</v>
      </c>
      <c r="R21" s="30" t="str">
        <f t="shared" si="17"/>
        <v/>
      </c>
      <c r="S21" s="60"/>
      <c r="T21" s="69" t="s">
        <v>7</v>
      </c>
      <c r="U21" s="42" t="str">
        <f t="shared" si="8"/>
        <v/>
      </c>
      <c r="V21" s="42" t="str">
        <f t="shared" si="5"/>
        <v/>
      </c>
      <c r="W21" s="34"/>
      <c r="X21" s="34"/>
      <c r="Y21" s="43" t="str">
        <f t="shared" si="6"/>
        <v/>
      </c>
      <c r="Z21" s="44" t="str">
        <f t="shared" si="9"/>
        <v/>
      </c>
      <c r="AA21" s="34"/>
      <c r="AB21" s="45">
        <v>13</v>
      </c>
      <c r="AC21" s="46" t="s">
        <v>67</v>
      </c>
      <c r="AD21" s="63" t="s">
        <v>67</v>
      </c>
      <c r="AE21" s="61" t="s">
        <v>67</v>
      </c>
      <c r="AK21" s="11">
        <f>(VLOOKUP($B21,'Finish Times'!$A$10:$G$40,6,FALSE))</f>
        <v>0</v>
      </c>
    </row>
    <row r="22" spans="1:39" s="8" customFormat="1" ht="30" customHeight="1" x14ac:dyDescent="0.35">
      <c r="A22" s="65" t="s">
        <v>18</v>
      </c>
      <c r="B22" s="65" t="s">
        <v>17</v>
      </c>
      <c r="C22" s="65"/>
      <c r="D22" s="65"/>
      <c r="E22" s="67" t="s">
        <v>14</v>
      </c>
      <c r="F22" s="66">
        <v>212</v>
      </c>
      <c r="G22" s="66">
        <v>220</v>
      </c>
      <c r="H22" s="11">
        <f t="shared" si="11"/>
        <v>235</v>
      </c>
      <c r="I22" s="14" t="str">
        <f t="shared" si="12"/>
        <v/>
      </c>
      <c r="J22" s="14">
        <f t="shared" si="18"/>
        <v>0.88105726872246692</v>
      </c>
      <c r="K22" s="27">
        <f>IF($AK22&gt;0,(VLOOKUP($B22,'Finish Times'!$A$10:$G$40,6,FALSE)),"")</f>
        <v>136</v>
      </c>
      <c r="L22" s="11">
        <f>IF($AK22&gt;0,(VLOOKUP($B22,'Finish Times'!$A$10:$G$40,7,FALSE)),"")</f>
        <v>50</v>
      </c>
      <c r="M22" s="12">
        <f t="shared" si="19"/>
        <v>136.83333333333334</v>
      </c>
      <c r="N22" s="12">
        <f t="shared" si="20"/>
        <v>120.55800293685756</v>
      </c>
      <c r="O22" s="11">
        <f t="shared" si="21"/>
        <v>4</v>
      </c>
      <c r="P22" s="29">
        <f t="shared" si="22"/>
        <v>66.305666488259433</v>
      </c>
      <c r="Q22" s="62">
        <v>59.895669294022532</v>
      </c>
      <c r="R22" s="30">
        <f t="shared" si="17"/>
        <v>1622</v>
      </c>
      <c r="S22" s="60"/>
      <c r="T22" s="69" t="s">
        <v>6</v>
      </c>
      <c r="U22" s="42">
        <f t="shared" si="8"/>
        <v>120.55800293685756</v>
      </c>
      <c r="V22" s="42">
        <f t="shared" si="5"/>
        <v>4</v>
      </c>
      <c r="W22" s="34"/>
      <c r="X22" s="34"/>
      <c r="Y22" s="43">
        <f t="shared" si="6"/>
        <v>0.39648479743189863</v>
      </c>
      <c r="Z22" s="44"/>
      <c r="AA22" s="34"/>
      <c r="AB22" s="45">
        <v>14</v>
      </c>
      <c r="AC22" s="46">
        <v>4</v>
      </c>
      <c r="AD22" s="63">
        <v>66.305666488259433</v>
      </c>
      <c r="AE22" s="61">
        <v>59.895669294022532</v>
      </c>
      <c r="AK22" s="11">
        <f>(VLOOKUP($B22,'Finish Times'!$A$10:$G$40,6,FALSE))</f>
        <v>136</v>
      </c>
    </row>
    <row r="23" spans="1:39" s="8" customFormat="1" ht="30" customHeight="1" x14ac:dyDescent="0.35">
      <c r="A23" s="65" t="s">
        <v>92</v>
      </c>
      <c r="B23" s="65" t="s">
        <v>129</v>
      </c>
      <c r="C23" s="65"/>
      <c r="D23" s="65"/>
      <c r="E23" s="67" t="s">
        <v>14</v>
      </c>
      <c r="F23" s="66">
        <v>215</v>
      </c>
      <c r="G23" s="66">
        <v>220</v>
      </c>
      <c r="H23" s="11">
        <f t="shared" si="11"/>
        <v>235</v>
      </c>
      <c r="I23" s="14" t="str">
        <f t="shared" si="12"/>
        <v/>
      </c>
      <c r="J23" s="14">
        <f t="shared" si="18"/>
        <v>0.88105726872246692</v>
      </c>
      <c r="K23" s="27" t="str">
        <f>IF($AK23&gt;0,(VLOOKUP($B23,'Finish Times'!$A$10:$G$40,6,FALSE)),"")</f>
        <v/>
      </c>
      <c r="L23" s="11" t="str">
        <f>IF($AK23&gt;0,(VLOOKUP($B23,'Finish Times'!$A$10:$G$40,7,FALSE)),"")</f>
        <v/>
      </c>
      <c r="M23" s="12" t="str">
        <f t="shared" si="19"/>
        <v xml:space="preserve"> </v>
      </c>
      <c r="N23" s="12" t="str">
        <f t="shared" si="20"/>
        <v/>
      </c>
      <c r="O23" s="11" t="str">
        <f t="shared" si="21"/>
        <v/>
      </c>
      <c r="P23" s="29" t="str">
        <f t="shared" si="22"/>
        <v/>
      </c>
      <c r="Q23" s="62" t="s">
        <v>67</v>
      </c>
      <c r="R23" s="30" t="str">
        <f t="shared" si="17"/>
        <v/>
      </c>
      <c r="S23" s="60"/>
      <c r="T23" s="69" t="s">
        <v>6</v>
      </c>
      <c r="U23" s="42" t="str">
        <f t="shared" si="8"/>
        <v/>
      </c>
      <c r="V23" s="42" t="str">
        <f t="shared" si="5"/>
        <v/>
      </c>
      <c r="W23" s="34"/>
      <c r="X23" s="34"/>
      <c r="Y23" s="43" t="str">
        <f t="shared" si="6"/>
        <v/>
      </c>
      <c r="Z23" s="44"/>
      <c r="AA23" s="34"/>
      <c r="AB23" s="45">
        <v>15</v>
      </c>
      <c r="AC23" s="46" t="s">
        <v>67</v>
      </c>
      <c r="AD23" s="63" t="s">
        <v>67</v>
      </c>
      <c r="AE23" s="61" t="s">
        <v>67</v>
      </c>
      <c r="AK23" s="11">
        <f>(VLOOKUP($B23,'Finish Times'!$A$10:$G$40,6,FALSE))</f>
        <v>0</v>
      </c>
    </row>
    <row r="24" spans="1:39" s="8" customFormat="1" ht="30" customHeight="1" x14ac:dyDescent="0.35">
      <c r="A24" s="65" t="s">
        <v>16</v>
      </c>
      <c r="B24" s="65" t="s">
        <v>15</v>
      </c>
      <c r="C24" s="65"/>
      <c r="D24" s="65"/>
      <c r="E24" s="67" t="s">
        <v>14</v>
      </c>
      <c r="F24" s="66">
        <v>330</v>
      </c>
      <c r="G24" s="66">
        <v>220</v>
      </c>
      <c r="H24" s="11">
        <f t="shared" si="11"/>
        <v>235</v>
      </c>
      <c r="I24" s="14" t="str">
        <f t="shared" si="12"/>
        <v/>
      </c>
      <c r="J24" s="14">
        <f t="shared" si="18"/>
        <v>0.88105726872246692</v>
      </c>
      <c r="K24" s="27">
        <f>IF($AK24&gt;0,(VLOOKUP($B24,'Finish Times'!$A$10:$G$40,6,FALSE)),"")</f>
        <v>138</v>
      </c>
      <c r="L24" s="11">
        <f>IF($AK24&gt;0,(VLOOKUP($B24,'Finish Times'!$A$10:$G$40,7,FALSE)),"")</f>
        <v>56</v>
      </c>
      <c r="M24" s="12">
        <f t="shared" si="19"/>
        <v>138.93333333333334</v>
      </c>
      <c r="N24" s="12">
        <f t="shared" si="20"/>
        <v>122.40822320117474</v>
      </c>
      <c r="O24" s="11">
        <f t="shared" si="21"/>
        <v>5</v>
      </c>
      <c r="P24" s="29">
        <f t="shared" si="22"/>
        <v>68.155886752576606</v>
      </c>
      <c r="Q24" s="62">
        <v>1.8502202643171728</v>
      </c>
      <c r="R24" s="30">
        <f t="shared" si="17"/>
        <v>1661</v>
      </c>
      <c r="S24" s="60"/>
      <c r="T24" s="69" t="s">
        <v>6</v>
      </c>
      <c r="U24" s="42">
        <f t="shared" si="8"/>
        <v>122.40822320117474</v>
      </c>
      <c r="V24" s="42">
        <f t="shared" si="5"/>
        <v>5</v>
      </c>
      <c r="W24" s="34"/>
      <c r="X24" s="34"/>
      <c r="Y24" s="43">
        <f t="shared" si="6"/>
        <v>0.39049186503309591</v>
      </c>
      <c r="Z24" s="44"/>
      <c r="AA24" s="34"/>
      <c r="AB24" s="45"/>
      <c r="AC24" s="46">
        <v>5</v>
      </c>
      <c r="AD24" s="63">
        <v>68.155886752576606</v>
      </c>
      <c r="AE24" s="61">
        <v>1.8502202643171728</v>
      </c>
      <c r="AK24" s="11">
        <f>(VLOOKUP($B24,'Finish Times'!$A$10:$G$40,6,FALSE))</f>
        <v>138</v>
      </c>
    </row>
    <row r="25" spans="1:39" s="8" customFormat="1" ht="30" customHeight="1" x14ac:dyDescent="0.35">
      <c r="A25" s="65" t="s">
        <v>114</v>
      </c>
      <c r="B25" s="65" t="s">
        <v>153</v>
      </c>
      <c r="C25" s="65"/>
      <c r="D25" s="65"/>
      <c r="E25" s="67" t="s">
        <v>14</v>
      </c>
      <c r="F25" s="66">
        <v>278</v>
      </c>
      <c r="G25" s="66">
        <v>220</v>
      </c>
      <c r="H25" s="11">
        <f t="shared" si="11"/>
        <v>235</v>
      </c>
      <c r="I25" s="14" t="str">
        <f t="shared" si="12"/>
        <v/>
      </c>
      <c r="J25" s="14">
        <f t="shared" si="18"/>
        <v>0.88105726872246692</v>
      </c>
      <c r="K25" s="27" t="str">
        <f>IF($AK25&gt;0,(VLOOKUP($B25,'Finish Times'!$A$10:$G$40,6,FALSE)),"")</f>
        <v/>
      </c>
      <c r="L25" s="11" t="str">
        <f>IF($AK25&gt;0,(VLOOKUP($B25,'Finish Times'!$A$10:$G$40,7,FALSE)),"")</f>
        <v/>
      </c>
      <c r="M25" s="12" t="str">
        <f t="shared" si="19"/>
        <v xml:space="preserve"> </v>
      </c>
      <c r="N25" s="12" t="str">
        <f t="shared" si="20"/>
        <v/>
      </c>
      <c r="O25" s="11" t="str">
        <f t="shared" si="21"/>
        <v/>
      </c>
      <c r="P25" s="29" t="str">
        <f t="shared" si="22"/>
        <v/>
      </c>
      <c r="Q25" s="62">
        <v>0.33635793532204161</v>
      </c>
      <c r="R25" s="30" t="str">
        <f t="shared" si="17"/>
        <v/>
      </c>
      <c r="S25" s="60"/>
      <c r="T25" s="69" t="s">
        <v>6</v>
      </c>
      <c r="U25" s="42" t="str">
        <f t="shared" si="8"/>
        <v/>
      </c>
      <c r="V25" s="42" t="str">
        <f t="shared" si="5"/>
        <v/>
      </c>
      <c r="W25" s="34"/>
      <c r="X25" s="34"/>
      <c r="Y25" s="43" t="str">
        <f t="shared" si="6"/>
        <v/>
      </c>
      <c r="Z25" s="44"/>
      <c r="AA25" s="34"/>
      <c r="AB25" s="45"/>
      <c r="AC25" s="46">
        <v>6</v>
      </c>
      <c r="AD25" s="63">
        <v>68.492244687898648</v>
      </c>
      <c r="AE25" s="61">
        <v>0.33635793532204161</v>
      </c>
      <c r="AK25" s="11">
        <f>(VLOOKUP($B25,'Finish Times'!$A$10:$G$40,6,FALSE))</f>
        <v>0</v>
      </c>
    </row>
    <row r="26" spans="1:39" s="8" customFormat="1" ht="30" customHeight="1" x14ac:dyDescent="0.35">
      <c r="A26" s="65" t="s">
        <v>13</v>
      </c>
      <c r="B26" s="65" t="s">
        <v>12</v>
      </c>
      <c r="C26" s="65"/>
      <c r="D26" s="65"/>
      <c r="E26" s="67" t="s">
        <v>11</v>
      </c>
      <c r="F26" s="66">
        <v>6</v>
      </c>
      <c r="G26" s="66">
        <v>223</v>
      </c>
      <c r="H26" s="11">
        <f t="shared" ref="H26" si="23">IFERROR(G26+15,"")</f>
        <v>238</v>
      </c>
      <c r="I26" s="14" t="str">
        <f t="shared" ref="I26" si="24">IF(T26 = "s",1000/(900+G26),"")</f>
        <v/>
      </c>
      <c r="J26" s="14">
        <f t="shared" ref="J26" si="25">IF(T26 ="n",1000/(900+H26),"")</f>
        <v>0.87873462214411246</v>
      </c>
      <c r="K26" s="27">
        <f>IF($AK26&gt;0,(VLOOKUP($B26,'Finish Times'!$A$10:$G$40,6,FALSE)),"")</f>
        <v>139</v>
      </c>
      <c r="L26" s="11">
        <f>IF($AK26&gt;0,(VLOOKUP($B26,'Finish Times'!$A$10:$G$40,7,FALSE)),"")</f>
        <v>41</v>
      </c>
      <c r="M26" s="12">
        <f t="shared" ref="M26" si="26">IF(AK26&gt;0,(K26+L26/60)-A$3," ")</f>
        <v>139.68333333333334</v>
      </c>
      <c r="N26" s="12">
        <f t="shared" ref="N26" si="27">IFERROR(U26," ")</f>
        <v>122.74458113649678</v>
      </c>
      <c r="O26" s="11">
        <f t="shared" ref="O26" si="28">IFERROR(V26," ")</f>
        <v>6</v>
      </c>
      <c r="P26" s="29">
        <f t="shared" ref="P26" si="29">IFERROR(N26-$Y$2,"")</f>
        <v>68.492244687898648</v>
      </c>
      <c r="Q26" s="62" t="s">
        <v>67</v>
      </c>
      <c r="R26" s="30">
        <f t="shared" ref="R26" si="30">IFERROR(ROUND((1000/Y26)-900,0),"")</f>
        <v>1675</v>
      </c>
      <c r="S26" s="60"/>
      <c r="T26" s="69" t="s">
        <v>6</v>
      </c>
      <c r="U26" s="42">
        <f t="shared" si="8"/>
        <v>122.74458113649678</v>
      </c>
      <c r="V26" s="42">
        <f t="shared" si="5"/>
        <v>6</v>
      </c>
      <c r="W26" s="34"/>
      <c r="X26" s="34"/>
      <c r="Y26" s="43">
        <f t="shared" si="6"/>
        <v>0.38839520187518051</v>
      </c>
      <c r="Z26" s="44">
        <f t="shared" si="9"/>
        <v>54.252336448598129</v>
      </c>
      <c r="AA26" s="34"/>
      <c r="AB26" s="45"/>
      <c r="AC26" s="46" t="s">
        <v>67</v>
      </c>
      <c r="AD26" s="63" t="s">
        <v>67</v>
      </c>
      <c r="AE26" s="61" t="s">
        <v>67</v>
      </c>
      <c r="AK26" s="11">
        <f>(VLOOKUP($B26,'Finish Times'!$A$10:$G$40,6,FALSE))</f>
        <v>139</v>
      </c>
    </row>
    <row r="27" spans="1:39" s="8" customFormat="1" ht="30" customHeight="1" x14ac:dyDescent="0.35">
      <c r="A27" s="65"/>
      <c r="B27" s="65"/>
      <c r="C27" s="65"/>
      <c r="D27" s="65"/>
      <c r="E27" s="67"/>
      <c r="F27" s="66"/>
      <c r="G27" s="66"/>
      <c r="H27" s="11"/>
      <c r="I27" s="14"/>
      <c r="J27" s="14"/>
      <c r="K27" s="13"/>
      <c r="L27" s="11"/>
      <c r="M27" s="12" t="str">
        <f t="shared" ref="M27" si="31">IF(K27&gt;0,(K27+L27/60)-A$3," ")</f>
        <v xml:space="preserve"> </v>
      </c>
      <c r="N27" s="12" t="str">
        <f t="shared" si="2"/>
        <v/>
      </c>
      <c r="O27" s="11" t="str">
        <f t="shared" si="2"/>
        <v/>
      </c>
      <c r="P27" s="29" t="str">
        <f t="shared" si="3"/>
        <v/>
      </c>
      <c r="Q27" s="62" t="s">
        <v>67</v>
      </c>
      <c r="R27" s="30" t="str">
        <f t="shared" si="17"/>
        <v/>
      </c>
      <c r="S27" s="60"/>
      <c r="T27" s="69" t="s">
        <v>6</v>
      </c>
      <c r="U27" s="42" t="str">
        <f t="shared" si="8"/>
        <v/>
      </c>
      <c r="V27" s="42" t="str">
        <f t="shared" si="5"/>
        <v/>
      </c>
      <c r="W27" s="34"/>
      <c r="X27" s="34"/>
      <c r="Y27" s="43" t="str">
        <f t="shared" si="6"/>
        <v/>
      </c>
      <c r="Z27" s="44" t="str">
        <f t="shared" si="9"/>
        <v/>
      </c>
      <c r="AA27" s="34"/>
      <c r="AB27" s="45"/>
      <c r="AC27" s="46" t="s">
        <v>67</v>
      </c>
      <c r="AD27" s="63" t="s">
        <v>67</v>
      </c>
      <c r="AE27" s="61" t="s">
        <v>67</v>
      </c>
      <c r="AK27" s="11" t="e">
        <f>(VLOOKUP($B27,'Finish Times'!$A$10:$G$40,6,FALSE))</f>
        <v>#N/A</v>
      </c>
    </row>
    <row r="28" spans="1:39" s="8" customFormat="1" ht="31.2" x14ac:dyDescent="0.6">
      <c r="A28" s="10" t="s">
        <v>5</v>
      </c>
      <c r="B28" s="10"/>
      <c r="C28" s="10"/>
      <c r="D28" s="10"/>
      <c r="E28" s="10"/>
      <c r="F28" s="10"/>
      <c r="G28" s="10"/>
      <c r="H28" s="10"/>
      <c r="I28" s="10"/>
      <c r="J28" s="10"/>
      <c r="K28" s="6"/>
      <c r="L28" s="6"/>
      <c r="M28" s="7"/>
      <c r="N28" s="9" t="s">
        <v>150</v>
      </c>
      <c r="Q28" s="62" t="s">
        <v>67</v>
      </c>
      <c r="AE28" s="61" t="s">
        <v>67</v>
      </c>
    </row>
    <row r="29" spans="1:39" ht="18" x14ac:dyDescent="0.35">
      <c r="A29" s="6" t="s">
        <v>4</v>
      </c>
      <c r="B29" s="6"/>
      <c r="C29" s="6"/>
      <c r="D29" s="6"/>
      <c r="E29" s="6"/>
      <c r="F29" s="6"/>
      <c r="G29" s="6"/>
      <c r="H29" s="6"/>
      <c r="I29" s="6"/>
      <c r="J29" s="6"/>
      <c r="K29" s="6"/>
      <c r="L29" s="6"/>
      <c r="M29" s="7"/>
      <c r="N29" s="7"/>
      <c r="O29" s="5"/>
      <c r="Y29" s="20"/>
    </row>
    <row r="30" spans="1:39" ht="18" x14ac:dyDescent="0.35">
      <c r="A30" s="6" t="s">
        <v>3</v>
      </c>
      <c r="B30" s="6"/>
      <c r="C30" s="6"/>
      <c r="D30" s="6"/>
      <c r="E30" s="6"/>
      <c r="F30" s="6"/>
      <c r="G30" s="6"/>
      <c r="H30" s="6"/>
      <c r="I30" s="6"/>
      <c r="J30" s="6"/>
      <c r="K30" s="6"/>
      <c r="L30" s="6"/>
      <c r="M30" s="5"/>
      <c r="N30" s="5"/>
      <c r="O30" s="5"/>
    </row>
    <row r="31" spans="1:39" ht="18" x14ac:dyDescent="0.35">
      <c r="A31" s="6" t="s">
        <v>2</v>
      </c>
      <c r="B31" s="6"/>
      <c r="C31" s="6"/>
      <c r="D31" s="6"/>
      <c r="E31" s="6"/>
      <c r="F31" s="6"/>
      <c r="G31" s="6"/>
      <c r="H31" s="6"/>
      <c r="I31" s="6"/>
      <c r="J31" s="6"/>
      <c r="K31" s="6"/>
      <c r="L31" s="6"/>
      <c r="M31" s="5"/>
      <c r="N31" s="5"/>
      <c r="O31" s="5"/>
    </row>
    <row r="33" spans="1:15" ht="30" customHeight="1" x14ac:dyDescent="1.1000000000000001">
      <c r="A33" s="4" t="s">
        <v>83</v>
      </c>
      <c r="B33" s="4"/>
      <c r="C33" s="4"/>
      <c r="D33" s="4"/>
      <c r="E33" s="4"/>
      <c r="F33" s="4"/>
      <c r="G33" s="4"/>
      <c r="H33" s="4"/>
      <c r="I33" s="4"/>
      <c r="J33" s="4"/>
      <c r="K33" s="4"/>
      <c r="L33" s="4"/>
      <c r="M33" s="4" t="s">
        <v>0</v>
      </c>
      <c r="N33" s="3"/>
      <c r="O33" s="2"/>
    </row>
  </sheetData>
  <sortState ref="AB10:AE28">
    <sortCondition ref="AB10:AB28"/>
  </sortState>
  <mergeCells count="7">
    <mergeCell ref="A5:O5"/>
    <mergeCell ref="A6:O6"/>
    <mergeCell ref="A7:O7"/>
    <mergeCell ref="T7:V7"/>
    <mergeCell ref="G8:H8"/>
    <mergeCell ref="I8:J8"/>
    <mergeCell ref="K8:L8"/>
  </mergeCells>
  <printOptions horizontalCentered="1" verticalCentered="1"/>
  <pageMargins left="0.2" right="0.2" top="0.75" bottom="0.5" header="0.3" footer="0.05"/>
  <pageSetup scale="78"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M29"/>
  <sheetViews>
    <sheetView zoomScale="47" zoomScaleNormal="47" workbookViewId="0">
      <selection activeCell="A7" sqref="A7:O7"/>
    </sheetView>
  </sheetViews>
  <sheetFormatPr defaultRowHeight="14.4" x14ac:dyDescent="0.3"/>
  <cols>
    <col min="1" max="1" width="15.6640625" customWidth="1"/>
    <col min="2" max="2" width="16.5546875" customWidth="1"/>
    <col min="3" max="3" width="9.33203125" customWidth="1"/>
    <col min="4" max="4" width="9.6640625" customWidth="1"/>
    <col min="5" max="5" width="18.44140625" customWidth="1"/>
    <col min="6" max="7" width="8.6640625" customWidth="1"/>
    <col min="8" max="8" width="10.6640625" customWidth="1"/>
    <col min="9" max="9" width="9.109375" bestFit="1" customWidth="1"/>
    <col min="10" max="10" width="10.6640625" customWidth="1"/>
    <col min="11" max="12" width="8.6640625" customWidth="1"/>
    <col min="13" max="13" width="10.44140625" customWidth="1"/>
    <col min="14" max="14" width="9.44140625" customWidth="1"/>
    <col min="15" max="15" width="8.6640625" style="1" customWidth="1"/>
    <col min="25" max="26" width="16" bestFit="1" customWidth="1"/>
    <col min="27" max="27" width="9.5546875" bestFit="1" customWidth="1"/>
    <col min="32" max="32" width="10.5546875" bestFit="1" customWidth="1"/>
  </cols>
  <sheetData>
    <row r="1" spans="1:39" x14ac:dyDescent="0.3">
      <c r="A1" s="47"/>
      <c r="B1" s="47"/>
      <c r="C1" s="47"/>
      <c r="D1" s="47"/>
      <c r="E1" s="47"/>
      <c r="F1" s="47"/>
      <c r="G1" s="47"/>
      <c r="H1" s="47"/>
      <c r="I1" s="47"/>
      <c r="J1" s="47"/>
      <c r="K1" s="47"/>
      <c r="L1" s="47"/>
      <c r="M1" s="47"/>
      <c r="N1" s="47"/>
      <c r="O1" s="50"/>
      <c r="P1" s="47"/>
      <c r="Q1" s="47"/>
      <c r="R1" s="47"/>
      <c r="S1" s="56"/>
      <c r="T1" s="31"/>
      <c r="U1" s="32"/>
      <c r="V1" s="32"/>
      <c r="W1" s="32"/>
      <c r="X1" s="32"/>
      <c r="Y1" s="34" t="s">
        <v>43</v>
      </c>
      <c r="Z1" s="32"/>
      <c r="AA1" s="32"/>
      <c r="AB1" s="32"/>
      <c r="AC1" s="32"/>
      <c r="AD1" s="32"/>
      <c r="AE1" s="52"/>
    </row>
    <row r="2" spans="1:39" x14ac:dyDescent="0.3">
      <c r="A2" s="47"/>
      <c r="B2" s="47"/>
      <c r="C2" s="47"/>
      <c r="D2" s="47"/>
      <c r="E2" s="47"/>
      <c r="F2" s="47"/>
      <c r="G2" s="47"/>
      <c r="H2" s="47"/>
      <c r="I2" s="47"/>
      <c r="J2" s="47"/>
      <c r="K2" s="47"/>
      <c r="L2" s="47"/>
      <c r="M2" s="47"/>
      <c r="N2" s="47"/>
      <c r="O2" s="50"/>
      <c r="P2" s="47"/>
      <c r="Q2" s="47"/>
      <c r="R2" s="47"/>
      <c r="S2" s="56"/>
      <c r="T2" s="31"/>
      <c r="U2" s="32"/>
      <c r="V2" s="32"/>
      <c r="W2" s="32"/>
      <c r="X2" s="32"/>
      <c r="Y2" s="41">
        <f>MIN(N10:N23)</f>
        <v>27.439212065250846</v>
      </c>
      <c r="Z2" s="32"/>
      <c r="AA2" s="32"/>
      <c r="AB2" s="32"/>
      <c r="AC2" s="32"/>
      <c r="AD2" s="32"/>
      <c r="AE2" s="52"/>
    </row>
    <row r="3" spans="1:39" ht="18" x14ac:dyDescent="0.35">
      <c r="A3" s="18">
        <v>5</v>
      </c>
      <c r="B3" s="51" t="s">
        <v>52</v>
      </c>
      <c r="C3" s="47"/>
      <c r="D3" s="47"/>
      <c r="E3" s="47"/>
      <c r="F3" s="47"/>
      <c r="G3" s="47"/>
      <c r="H3" s="47"/>
      <c r="I3" s="47"/>
      <c r="J3" s="47"/>
      <c r="K3" s="47"/>
      <c r="L3" s="47"/>
      <c r="M3" s="47"/>
      <c r="N3" s="47"/>
      <c r="O3" s="50"/>
      <c r="P3" s="47"/>
      <c r="Q3" s="47"/>
      <c r="R3" s="47"/>
      <c r="S3" s="56"/>
      <c r="T3" s="31"/>
      <c r="U3" s="32"/>
      <c r="V3" s="32"/>
      <c r="W3" s="32"/>
      <c r="X3" s="32"/>
      <c r="Y3" s="32"/>
      <c r="Z3" s="32"/>
      <c r="AA3" s="32"/>
      <c r="AB3" s="32"/>
      <c r="AC3" s="32"/>
      <c r="AD3" s="32"/>
      <c r="AE3" s="52"/>
    </row>
    <row r="4" spans="1:39" x14ac:dyDescent="0.3">
      <c r="A4" s="47"/>
      <c r="B4" s="47"/>
      <c r="C4" s="47"/>
      <c r="D4" s="47"/>
      <c r="E4" s="47"/>
      <c r="F4" s="47"/>
      <c r="G4" s="47"/>
      <c r="H4" s="47"/>
      <c r="I4" s="47"/>
      <c r="J4" s="47"/>
      <c r="K4" s="47"/>
      <c r="L4" s="47"/>
      <c r="M4" s="47"/>
      <c r="N4" s="47"/>
      <c r="O4" s="50"/>
      <c r="P4" s="47"/>
      <c r="Q4" s="47"/>
      <c r="R4" s="47"/>
      <c r="S4" s="56"/>
      <c r="T4" s="31"/>
      <c r="U4" s="32"/>
      <c r="V4" s="32"/>
      <c r="W4" s="32"/>
      <c r="X4" s="32"/>
      <c r="Y4" s="32"/>
      <c r="Z4" s="32"/>
      <c r="AA4" s="32"/>
      <c r="AB4" s="32"/>
      <c r="AC4" s="32"/>
      <c r="AD4" s="32"/>
      <c r="AE4" s="52"/>
    </row>
    <row r="5" spans="1:39" ht="31.2" x14ac:dyDescent="0.6">
      <c r="A5" s="94" t="s">
        <v>152</v>
      </c>
      <c r="B5" s="94"/>
      <c r="C5" s="94"/>
      <c r="D5" s="94"/>
      <c r="E5" s="94"/>
      <c r="F5" s="94"/>
      <c r="G5" s="94"/>
      <c r="H5" s="94"/>
      <c r="I5" s="94"/>
      <c r="J5" s="94"/>
      <c r="K5" s="94"/>
      <c r="L5" s="94"/>
      <c r="M5" s="94"/>
      <c r="N5" s="94"/>
      <c r="O5" s="94"/>
      <c r="P5" s="47"/>
      <c r="Q5" s="47"/>
      <c r="R5" s="47"/>
      <c r="S5" s="56"/>
      <c r="T5" s="33"/>
      <c r="U5" s="32"/>
      <c r="V5" s="32"/>
      <c r="W5" s="32"/>
      <c r="X5" s="32"/>
      <c r="Y5" s="32"/>
      <c r="Z5" s="32" t="s">
        <v>59</v>
      </c>
      <c r="AA5" s="32"/>
      <c r="AB5" s="32"/>
      <c r="AC5" s="32"/>
      <c r="AD5" s="32"/>
      <c r="AE5" s="52"/>
    </row>
    <row r="6" spans="1:39" s="8" customFormat="1" ht="18.600000000000001" thickBot="1" x14ac:dyDescent="0.4">
      <c r="A6" s="95" t="s">
        <v>167</v>
      </c>
      <c r="B6" s="95"/>
      <c r="C6" s="95"/>
      <c r="D6" s="95"/>
      <c r="E6" s="95"/>
      <c r="F6" s="95"/>
      <c r="G6" s="95"/>
      <c r="H6" s="95"/>
      <c r="I6" s="95"/>
      <c r="J6" s="95"/>
      <c r="K6" s="95"/>
      <c r="L6" s="95"/>
      <c r="M6" s="95"/>
      <c r="N6" s="95"/>
      <c r="O6" s="95"/>
      <c r="P6" s="48"/>
      <c r="Q6" s="48"/>
      <c r="R6" s="48"/>
      <c r="S6" s="57"/>
      <c r="T6" s="33"/>
      <c r="U6" s="34"/>
      <c r="V6" s="34"/>
      <c r="W6" s="34"/>
      <c r="X6" s="34"/>
      <c r="Y6" s="35" t="s">
        <v>58</v>
      </c>
      <c r="Z6" s="34" t="s">
        <v>60</v>
      </c>
      <c r="AA6" s="36"/>
      <c r="AB6" s="34"/>
      <c r="AC6" s="34"/>
      <c r="AD6" s="34"/>
      <c r="AE6" s="53"/>
    </row>
    <row r="7" spans="1:39" ht="18" customHeight="1" thickTop="1" x14ac:dyDescent="0.3">
      <c r="A7" s="96"/>
      <c r="B7" s="96"/>
      <c r="C7" s="96"/>
      <c r="D7" s="96"/>
      <c r="E7" s="96"/>
      <c r="F7" s="96"/>
      <c r="G7" s="96"/>
      <c r="H7" s="96"/>
      <c r="I7" s="96"/>
      <c r="J7" s="96"/>
      <c r="K7" s="96"/>
      <c r="L7" s="96"/>
      <c r="M7" s="96"/>
      <c r="N7" s="96"/>
      <c r="O7" s="96"/>
      <c r="P7" s="23" t="s">
        <v>31</v>
      </c>
      <c r="Q7" s="23" t="s">
        <v>31</v>
      </c>
      <c r="R7" s="49" t="s">
        <v>55</v>
      </c>
      <c r="S7" s="58"/>
      <c r="T7" s="97" t="s">
        <v>50</v>
      </c>
      <c r="U7" s="98"/>
      <c r="V7" s="99"/>
      <c r="W7" s="32"/>
      <c r="X7" s="32"/>
      <c r="Y7" s="36" t="s">
        <v>56</v>
      </c>
      <c r="Z7" s="36" t="s">
        <v>56</v>
      </c>
      <c r="AA7" s="36"/>
      <c r="AB7" s="32"/>
      <c r="AC7" s="54" t="s">
        <v>72</v>
      </c>
      <c r="AD7" s="32"/>
      <c r="AE7" s="52"/>
    </row>
    <row r="8" spans="1:39" s="8" customFormat="1" ht="18" x14ac:dyDescent="0.35">
      <c r="A8" s="17"/>
      <c r="B8" s="17"/>
      <c r="C8" s="16"/>
      <c r="D8" s="16"/>
      <c r="E8" s="16"/>
      <c r="F8" s="16"/>
      <c r="G8" s="100" t="s">
        <v>49</v>
      </c>
      <c r="H8" s="100"/>
      <c r="I8" s="100" t="s">
        <v>48</v>
      </c>
      <c r="J8" s="100"/>
      <c r="K8" s="100" t="s">
        <v>47</v>
      </c>
      <c r="L8" s="100"/>
      <c r="M8" s="91" t="s">
        <v>46</v>
      </c>
      <c r="N8" s="91" t="s">
        <v>45</v>
      </c>
      <c r="O8" s="19"/>
      <c r="P8" s="24" t="s">
        <v>29</v>
      </c>
      <c r="Q8" s="24" t="s">
        <v>29</v>
      </c>
      <c r="R8" s="22" t="s">
        <v>53</v>
      </c>
      <c r="S8" s="59"/>
      <c r="T8" s="37" t="s">
        <v>44</v>
      </c>
      <c r="U8" s="35"/>
      <c r="V8" s="38"/>
      <c r="W8" s="32"/>
      <c r="X8" s="34"/>
      <c r="Y8" s="39" t="s">
        <v>57</v>
      </c>
      <c r="Z8" s="35"/>
      <c r="AA8" s="35"/>
      <c r="AB8" s="35"/>
      <c r="AC8" s="35">
        <f>MAX(AC10:AC23)</f>
        <v>5</v>
      </c>
      <c r="AD8" s="35"/>
      <c r="AE8" s="53"/>
    </row>
    <row r="9" spans="1:39" s="8" customFormat="1" ht="18.600000000000001" thickBot="1" x14ac:dyDescent="0.4">
      <c r="A9" s="15" t="s">
        <v>42</v>
      </c>
      <c r="B9" s="15" t="s">
        <v>41</v>
      </c>
      <c r="C9" s="91" t="s">
        <v>40</v>
      </c>
      <c r="D9" s="91" t="s">
        <v>39</v>
      </c>
      <c r="E9" s="91" t="s">
        <v>38</v>
      </c>
      <c r="F9" s="91" t="s">
        <v>37</v>
      </c>
      <c r="G9" s="91" t="s">
        <v>36</v>
      </c>
      <c r="H9" s="91" t="s">
        <v>35</v>
      </c>
      <c r="I9" s="91" t="s">
        <v>36</v>
      </c>
      <c r="J9" s="91" t="s">
        <v>35</v>
      </c>
      <c r="K9" s="91" t="s">
        <v>34</v>
      </c>
      <c r="L9" s="91" t="s">
        <v>33</v>
      </c>
      <c r="M9" s="91" t="s">
        <v>32</v>
      </c>
      <c r="N9" s="91" t="s">
        <v>31</v>
      </c>
      <c r="O9" s="19" t="s">
        <v>30</v>
      </c>
      <c r="P9" s="25" t="s">
        <v>43</v>
      </c>
      <c r="Q9" s="26" t="s">
        <v>66</v>
      </c>
      <c r="R9" s="22" t="s">
        <v>54</v>
      </c>
      <c r="S9" s="59"/>
      <c r="T9" s="40" t="s">
        <v>28</v>
      </c>
      <c r="U9" s="35"/>
      <c r="V9" s="38"/>
      <c r="W9" s="32"/>
      <c r="X9" s="34"/>
      <c r="Y9" s="35"/>
      <c r="Z9" s="35"/>
      <c r="AA9" s="35"/>
      <c r="AB9" s="32"/>
      <c r="AC9" s="32"/>
      <c r="AD9" s="32"/>
      <c r="AE9" s="52"/>
      <c r="AF9"/>
      <c r="AG9"/>
      <c r="AH9"/>
      <c r="AI9"/>
      <c r="AJ9"/>
      <c r="AK9"/>
      <c r="AL9"/>
      <c r="AM9"/>
    </row>
    <row r="10" spans="1:39" s="8" customFormat="1" ht="30" customHeight="1" thickTop="1" x14ac:dyDescent="0.35">
      <c r="A10" s="65" t="s">
        <v>84</v>
      </c>
      <c r="B10" s="65" t="s">
        <v>85</v>
      </c>
      <c r="C10" s="65"/>
      <c r="D10" s="65"/>
      <c r="E10" s="67" t="s">
        <v>86</v>
      </c>
      <c r="F10" s="66">
        <v>1309</v>
      </c>
      <c r="G10" s="90">
        <v>244</v>
      </c>
      <c r="H10" s="11">
        <f>IFERROR(G10+15,"")</f>
        <v>259</v>
      </c>
      <c r="I10" s="14">
        <f>IF(T10 = "s",1000/(900+G10),"")</f>
        <v>0.87412587412587417</v>
      </c>
      <c r="J10" s="14" t="str">
        <f>IF(T10 ="n",1000/(900+H10),"")</f>
        <v/>
      </c>
      <c r="K10" s="27">
        <f>IF($AK10&gt;0,(VLOOKUP($B10,'Finish Times'!$A$10:$G$40,6,FALSE)),"")</f>
        <v>49</v>
      </c>
      <c r="L10" s="11">
        <f>IF($AK10&gt;0,(VLOOKUP($B10,'Finish Times'!$A$10:$G$40,7,FALSE)),"")</f>
        <v>54</v>
      </c>
      <c r="M10" s="12">
        <f t="shared" ref="M10:M20" si="0">IF(AK10&gt;0,(K10+L10/60)-A$3," ")</f>
        <v>44.9</v>
      </c>
      <c r="N10" s="12">
        <f t="shared" ref="N10:O23" si="1">IFERROR(U10," ")</f>
        <v>39.248251748251747</v>
      </c>
      <c r="O10" s="11">
        <f t="shared" si="1"/>
        <v>3</v>
      </c>
      <c r="P10" s="28">
        <f t="shared" ref="P10:P23" si="2">IFERROR(N10-$Y$2,"")</f>
        <v>11.809039683000901</v>
      </c>
      <c r="Q10" s="62">
        <v>2.7237255498121726E-2</v>
      </c>
      <c r="R10" s="30">
        <f t="shared" ref="R10:R23" si="3">IFERROR(ROUND((1000/Y10)-900,0),"")</f>
        <v>736</v>
      </c>
      <c r="S10" s="60"/>
      <c r="T10" s="69" t="s">
        <v>7</v>
      </c>
      <c r="U10" s="42">
        <f>IFERROR(IF(M10&gt;0,IF(T10="s",M10*I10,0)+IF(T10="n",M10*J10,0)," "),"")</f>
        <v>39.248251748251747</v>
      </c>
      <c r="V10" s="42">
        <f t="shared" ref="V10:V23" si="4">IFERROR(RANK(N10,$N$10:$N$23,1),"")</f>
        <v>3</v>
      </c>
      <c r="W10" s="34"/>
      <c r="X10" s="34"/>
      <c r="Y10" s="43">
        <f t="shared" ref="Y10:Y23" si="5">IFERROR($Y$2/M10,"")</f>
        <v>0.61111830880291418</v>
      </c>
      <c r="Z10" s="44">
        <f>IFERROR(M10*Y10,"")</f>
        <v>27.439212065250846</v>
      </c>
      <c r="AA10" s="34"/>
      <c r="AB10" s="45">
        <v>1</v>
      </c>
      <c r="AC10" s="45">
        <v>3</v>
      </c>
      <c r="AD10" s="61">
        <v>11.809039683000901</v>
      </c>
      <c r="AE10" s="61">
        <v>2.7237255498121726E-2</v>
      </c>
      <c r="AF10"/>
      <c r="AG10"/>
      <c r="AH10" s="27">
        <v>55</v>
      </c>
      <c r="AI10" s="11">
        <v>39</v>
      </c>
      <c r="AJ10"/>
      <c r="AK10" s="11">
        <f>(VLOOKUP($B10,'Finish Times'!$A$10:$G$40,6,FALSE))</f>
        <v>49</v>
      </c>
      <c r="AL10"/>
      <c r="AM10"/>
    </row>
    <row r="11" spans="1:39" s="8" customFormat="1" ht="30" customHeight="1" x14ac:dyDescent="0.35">
      <c r="A11" s="65" t="s">
        <v>87</v>
      </c>
      <c r="B11" s="65" t="s">
        <v>88</v>
      </c>
      <c r="C11" s="65"/>
      <c r="D11" s="65"/>
      <c r="E11" s="67" t="s">
        <v>89</v>
      </c>
      <c r="F11" s="66">
        <v>470</v>
      </c>
      <c r="G11" s="66">
        <v>240</v>
      </c>
      <c r="H11" s="11">
        <f t="shared" ref="H11:H14" si="6">IFERROR(G11+15,"")</f>
        <v>255</v>
      </c>
      <c r="I11" s="14" t="str">
        <f>IF(T11 = "s",1000/(900+G11),"")</f>
        <v/>
      </c>
      <c r="J11" s="14">
        <f>IF(T11 ="n",1000/(900+H11),"")</f>
        <v>0.86580086580086579</v>
      </c>
      <c r="K11" s="27">
        <f>IF($AK11&gt;0,(VLOOKUP($B11,'Finish Times'!$A$10:$G$40,6,FALSE)),"")</f>
        <v>52</v>
      </c>
      <c r="L11" s="11">
        <f>IF($AK11&gt;0,(VLOOKUP($B11,'Finish Times'!$A$10:$G$40,7,FALSE)),"")</f>
        <v>53</v>
      </c>
      <c r="M11" s="12">
        <f t="shared" si="0"/>
        <v>47.883333333333333</v>
      </c>
      <c r="N11" s="12">
        <f t="shared" si="1"/>
        <v>41.457431457431454</v>
      </c>
      <c r="O11" s="11">
        <f t="shared" si="1"/>
        <v>4</v>
      </c>
      <c r="P11" s="29">
        <f t="shared" si="2"/>
        <v>14.018219392180608</v>
      </c>
      <c r="Q11" s="62">
        <v>2.2091797091797076</v>
      </c>
      <c r="R11" s="30">
        <f t="shared" si="3"/>
        <v>845</v>
      </c>
      <c r="S11" s="60"/>
      <c r="T11" s="69" t="s">
        <v>6</v>
      </c>
      <c r="U11" s="42">
        <f t="shared" ref="U11:U23" si="7">IFERROR(IF(M11&gt;0,IF(T11="s",M11*I11,0)+IF(T11="n",M11*J11,0)," "),"")</f>
        <v>41.457431457431454</v>
      </c>
      <c r="V11" s="42">
        <f t="shared" si="4"/>
        <v>4</v>
      </c>
      <c r="W11" s="34"/>
      <c r="X11" s="34"/>
      <c r="Y11" s="43">
        <f t="shared" si="5"/>
        <v>0.57304306436305286</v>
      </c>
      <c r="Z11" s="44">
        <f t="shared" ref="Z11:Z23" si="8">IFERROR(M11*Y11,"")</f>
        <v>27.439212065250846</v>
      </c>
      <c r="AA11" s="34"/>
      <c r="AB11" s="45">
        <v>2</v>
      </c>
      <c r="AC11" s="45">
        <v>4</v>
      </c>
      <c r="AD11" s="61">
        <v>14.018219392180608</v>
      </c>
      <c r="AE11" s="61">
        <v>2.2091797091797076</v>
      </c>
      <c r="AF11"/>
      <c r="AG11"/>
      <c r="AH11" s="27">
        <v>56</v>
      </c>
      <c r="AI11" s="11">
        <v>22</v>
      </c>
      <c r="AJ11"/>
      <c r="AK11" s="11">
        <f>(VLOOKUP($B11,'Finish Times'!$A$10:$G$40,6,FALSE))</f>
        <v>52</v>
      </c>
      <c r="AL11"/>
      <c r="AM11"/>
    </row>
    <row r="12" spans="1:39" s="8" customFormat="1" ht="30" customHeight="1" x14ac:dyDescent="0.35">
      <c r="A12" s="65" t="s">
        <v>90</v>
      </c>
      <c r="B12" s="65" t="s">
        <v>154</v>
      </c>
      <c r="C12" s="65"/>
      <c r="D12" s="65"/>
      <c r="E12" s="67" t="s">
        <v>89</v>
      </c>
      <c r="F12" s="66">
        <v>269</v>
      </c>
      <c r="G12" s="90">
        <f>241+3</f>
        <v>244</v>
      </c>
      <c r="H12" s="11">
        <f t="shared" si="6"/>
        <v>259</v>
      </c>
      <c r="I12" s="14" t="str">
        <f>IF(T12 = "s",1000/(900+G12),"")</f>
        <v/>
      </c>
      <c r="J12" s="14">
        <f>IF(T12 ="n",1000/(900+H12),"")</f>
        <v>0.86281276962899056</v>
      </c>
      <c r="K12" s="27">
        <f>IF($AK12&gt;0,(VLOOKUP($B12,'Finish Times'!$A$10:$G$40,6,FALSE)),"")</f>
        <v>57</v>
      </c>
      <c r="L12" s="11">
        <f>IF($AK12&gt;0,(VLOOKUP($B12,'Finish Times'!$A$10:$G$40,7,FALSE)),"")</f>
        <v>21</v>
      </c>
      <c r="M12" s="12">
        <f t="shared" ref="M12" si="9">IF(AK12&gt;0,(K12+L12/60)-A$3," ")</f>
        <v>52.35</v>
      </c>
      <c r="N12" s="12">
        <f t="shared" ref="N12" si="10">IFERROR(U12," ")</f>
        <v>45.168248490077659</v>
      </c>
      <c r="O12" s="11">
        <f t="shared" ref="O12" si="11">IFERROR(V12," ")</f>
        <v>5</v>
      </c>
      <c r="P12" s="29">
        <f t="shared" ref="P12" si="12">IFERROR(N12-$Y$2,"")</f>
        <v>17.729036424826813</v>
      </c>
      <c r="Q12" s="62">
        <v>3.7108170326462044</v>
      </c>
      <c r="R12" s="30">
        <f t="shared" ref="R12" si="13">IFERROR(ROUND((1000/Y12)-900,0),"")</f>
        <v>1008</v>
      </c>
      <c r="S12" s="60"/>
      <c r="T12" s="69" t="s">
        <v>6</v>
      </c>
      <c r="U12" s="42">
        <f t="shared" si="7"/>
        <v>45.168248490077659</v>
      </c>
      <c r="V12" s="42">
        <f t="shared" si="4"/>
        <v>5</v>
      </c>
      <c r="W12" s="34"/>
      <c r="X12" s="34"/>
      <c r="Y12" s="43">
        <f t="shared" si="5"/>
        <v>0.52414922760746596</v>
      </c>
      <c r="Z12" s="44">
        <f t="shared" si="8"/>
        <v>27.439212065250842</v>
      </c>
      <c r="AA12" s="34"/>
      <c r="AB12" s="45">
        <v>3</v>
      </c>
      <c r="AC12" s="45">
        <v>5</v>
      </c>
      <c r="AD12" s="61">
        <v>17.729036424826813</v>
      </c>
      <c r="AE12" s="61">
        <v>3.7108170326462044</v>
      </c>
      <c r="AF12"/>
      <c r="AG12"/>
      <c r="AH12" s="27">
        <v>54</v>
      </c>
      <c r="AI12" s="11">
        <v>9</v>
      </c>
      <c r="AJ12"/>
      <c r="AK12" s="11">
        <f>(VLOOKUP($B12,'Finish Times'!$A$10:$G$40,6,FALSE))</f>
        <v>57</v>
      </c>
      <c r="AL12"/>
      <c r="AM12"/>
    </row>
    <row r="13" spans="1:39" s="8" customFormat="1" ht="30" customHeight="1" x14ac:dyDescent="0.35">
      <c r="A13" s="65" t="s">
        <v>130</v>
      </c>
      <c r="B13" s="65" t="s">
        <v>159</v>
      </c>
      <c r="C13" s="65"/>
      <c r="D13" s="65"/>
      <c r="E13" s="67" t="s">
        <v>94</v>
      </c>
      <c r="F13" s="66">
        <v>1256</v>
      </c>
      <c r="G13" s="66">
        <v>242</v>
      </c>
      <c r="H13" s="11">
        <f t="shared" si="6"/>
        <v>257</v>
      </c>
      <c r="I13" s="14" t="str">
        <f>IF(T13 = "s",1000/(900+G13),"")</f>
        <v/>
      </c>
      <c r="J13" s="14">
        <f>IF(T13 ="n",1000/(900+H13),"")</f>
        <v>0.86430423509075194</v>
      </c>
      <c r="K13" s="27" t="str">
        <f>IF($AK13&gt;0,(VLOOKUP($B13,'Finish Times'!$A$10:$G$40,6,FALSE)),"")</f>
        <v/>
      </c>
      <c r="L13" s="11" t="str">
        <f>IF($AK13&gt;0,(VLOOKUP($B13,'Finish Times'!$A$10:$G$40,7,FALSE)),"")</f>
        <v/>
      </c>
      <c r="M13" s="12" t="str">
        <f t="shared" si="0"/>
        <v xml:space="preserve"> </v>
      </c>
      <c r="N13" s="12" t="str">
        <f t="shared" si="1"/>
        <v/>
      </c>
      <c r="O13" s="11" t="str">
        <f t="shared" si="1"/>
        <v/>
      </c>
      <c r="P13" s="29" t="str">
        <f t="shared" si="2"/>
        <v/>
      </c>
      <c r="Q13" s="62" t="s">
        <v>67</v>
      </c>
      <c r="R13" s="30" t="str">
        <f t="shared" si="3"/>
        <v/>
      </c>
      <c r="S13" s="60"/>
      <c r="T13" s="69" t="s">
        <v>6</v>
      </c>
      <c r="U13" s="42" t="str">
        <f t="shared" si="7"/>
        <v/>
      </c>
      <c r="V13" s="42" t="str">
        <f t="shared" si="4"/>
        <v/>
      </c>
      <c r="W13" s="34"/>
      <c r="X13" s="34"/>
      <c r="Y13" s="43" t="str">
        <f t="shared" si="5"/>
        <v/>
      </c>
      <c r="Z13" s="44" t="str">
        <f t="shared" si="8"/>
        <v/>
      </c>
      <c r="AA13" s="34"/>
      <c r="AB13" s="45">
        <v>4</v>
      </c>
      <c r="AC13" s="45" t="s">
        <v>67</v>
      </c>
      <c r="AD13" s="61" t="s">
        <v>67</v>
      </c>
      <c r="AE13" s="61" t="s">
        <v>67</v>
      </c>
      <c r="AF13"/>
      <c r="AG13"/>
      <c r="AH13" s="27">
        <v>62</v>
      </c>
      <c r="AI13" s="11">
        <v>59</v>
      </c>
      <c r="AJ13"/>
      <c r="AK13" s="11">
        <f>(VLOOKUP($B13,'Finish Times'!$A$10:$G$40,6,FALSE))</f>
        <v>0</v>
      </c>
      <c r="AL13"/>
      <c r="AM13"/>
    </row>
    <row r="14" spans="1:39" s="8" customFormat="1" ht="30" customHeight="1" x14ac:dyDescent="0.35">
      <c r="A14" s="65" t="s">
        <v>10</v>
      </c>
      <c r="B14" s="65" t="s">
        <v>9</v>
      </c>
      <c r="C14" s="65"/>
      <c r="D14" s="65"/>
      <c r="E14" s="67" t="s">
        <v>8</v>
      </c>
      <c r="F14" s="66">
        <v>1687</v>
      </c>
      <c r="G14" s="66">
        <v>224</v>
      </c>
      <c r="H14" s="11">
        <f t="shared" si="6"/>
        <v>239</v>
      </c>
      <c r="I14" s="14">
        <f t="shared" ref="I14" si="14">IF(T14 = "s",1000/(900+G14),"")</f>
        <v>0.88967971530249113</v>
      </c>
      <c r="J14" s="14" t="str">
        <f t="shared" ref="J14" si="15">IF(T14 ="n",1000/(900+H14),"")</f>
        <v/>
      </c>
      <c r="K14" s="27" t="str">
        <f>IF($AK14&gt;0,(VLOOKUP($B14,'Finish Times'!$A$10:$G$40,6,FALSE)),"")</f>
        <v/>
      </c>
      <c r="L14" s="11" t="str">
        <f>IF($AK14&gt;0,(VLOOKUP($B14,'Finish Times'!$A$10:$G$40,7,FALSE)),"")</f>
        <v/>
      </c>
      <c r="M14" s="12" t="str">
        <f t="shared" si="0"/>
        <v xml:space="preserve"> </v>
      </c>
      <c r="N14" s="12" t="str">
        <f t="shared" si="1"/>
        <v/>
      </c>
      <c r="O14" s="11" t="str">
        <f t="shared" si="1"/>
        <v/>
      </c>
      <c r="P14" s="29" t="str">
        <f t="shared" si="2"/>
        <v/>
      </c>
      <c r="Q14" s="62" t="s">
        <v>67</v>
      </c>
      <c r="R14" s="30" t="str">
        <f t="shared" si="3"/>
        <v/>
      </c>
      <c r="S14" s="60"/>
      <c r="T14" s="69" t="s">
        <v>7</v>
      </c>
      <c r="U14" s="42" t="str">
        <f t="shared" si="7"/>
        <v/>
      </c>
      <c r="V14" s="42" t="str">
        <f t="shared" si="4"/>
        <v/>
      </c>
      <c r="W14" s="34"/>
      <c r="X14" s="34"/>
      <c r="Y14" s="43" t="str">
        <f t="shared" si="5"/>
        <v/>
      </c>
      <c r="Z14" s="44" t="str">
        <f t="shared" si="8"/>
        <v/>
      </c>
      <c r="AA14" s="34"/>
      <c r="AB14" s="45">
        <v>5</v>
      </c>
      <c r="AC14" s="45" t="s">
        <v>67</v>
      </c>
      <c r="AD14" s="61" t="s">
        <v>67</v>
      </c>
      <c r="AE14" s="61" t="s">
        <v>67</v>
      </c>
      <c r="AF14"/>
      <c r="AG14"/>
      <c r="AH14" s="27">
        <v>59</v>
      </c>
      <c r="AI14" s="11">
        <v>12</v>
      </c>
      <c r="AJ14"/>
      <c r="AK14" s="11">
        <f>(VLOOKUP($B14,'Finish Times'!$A$10:$G$40,6,FALSE))</f>
        <v>0</v>
      </c>
      <c r="AL14"/>
      <c r="AM14"/>
    </row>
    <row r="15" spans="1:39" s="8" customFormat="1" ht="30" customHeight="1" x14ac:dyDescent="0.35">
      <c r="A15" s="65" t="s">
        <v>102</v>
      </c>
      <c r="B15" s="65" t="s">
        <v>103</v>
      </c>
      <c r="C15" s="65"/>
      <c r="D15" s="65"/>
      <c r="E15" s="67" t="s">
        <v>104</v>
      </c>
      <c r="F15" s="66">
        <v>485</v>
      </c>
      <c r="G15" s="66">
        <v>168</v>
      </c>
      <c r="H15" s="11">
        <f t="shared" ref="H15:H19" si="16">IFERROR(G15+15,"")</f>
        <v>183</v>
      </c>
      <c r="I15" s="14" t="str">
        <f t="shared" ref="I15:I20" si="17">IF(T15 = "s",1000/(900+G15),"")</f>
        <v/>
      </c>
      <c r="J15" s="14">
        <f t="shared" ref="J15:J20" si="18">IF(T15 ="n",1000/(900+H15),"")</f>
        <v>0.92336103416435822</v>
      </c>
      <c r="K15" s="27">
        <f>IF($AK15&gt;0,(VLOOKUP($B15,'Finish Times'!$A$10:$G$40,6,FALSE)),"")</f>
        <v>34</v>
      </c>
      <c r="L15" s="11">
        <f>IF($AK15&gt;0,(VLOOKUP($B15,'Finish Times'!$A$10:$G$40,7,FALSE)),"")</f>
        <v>43</v>
      </c>
      <c r="M15" s="12">
        <f t="shared" si="0"/>
        <v>29.716666666666669</v>
      </c>
      <c r="N15" s="12">
        <f t="shared" ref="N15:N20" si="19">IFERROR(U15," ")</f>
        <v>27.439212065250846</v>
      </c>
      <c r="O15" s="11">
        <f t="shared" ref="O15:O20" si="20">IFERROR(V15," ")</f>
        <v>1</v>
      </c>
      <c r="P15" s="29">
        <f t="shared" ref="P15:P20" si="21">IFERROR(N15-$Y$2,"")</f>
        <v>0</v>
      </c>
      <c r="Q15" s="62"/>
      <c r="R15" s="30">
        <f t="shared" ref="R15:R20" si="22">IFERROR(ROUND((1000/Y15)-900,0),"")</f>
        <v>183</v>
      </c>
      <c r="S15" s="60"/>
      <c r="T15" s="69" t="s">
        <v>6</v>
      </c>
      <c r="U15" s="42">
        <f t="shared" si="7"/>
        <v>27.439212065250846</v>
      </c>
      <c r="V15" s="42">
        <f t="shared" si="4"/>
        <v>1</v>
      </c>
      <c r="W15" s="34"/>
      <c r="X15" s="34"/>
      <c r="Y15" s="43">
        <f t="shared" si="5"/>
        <v>0.92336103416435822</v>
      </c>
      <c r="Z15" s="44">
        <f t="shared" si="8"/>
        <v>27.439212065250846</v>
      </c>
      <c r="AA15" s="34"/>
      <c r="AB15" s="45">
        <v>6</v>
      </c>
      <c r="AC15" s="45">
        <v>1</v>
      </c>
      <c r="AD15" s="61">
        <v>0</v>
      </c>
      <c r="AE15" s="61"/>
      <c r="AF15"/>
      <c r="AG15"/>
      <c r="AH15" s="27">
        <v>56</v>
      </c>
      <c r="AI15" s="11">
        <v>58</v>
      </c>
      <c r="AJ15"/>
      <c r="AK15" s="11">
        <f>(VLOOKUP($B15,'Finish Times'!$A$10:$G$40,6,FALSE))</f>
        <v>34</v>
      </c>
      <c r="AL15"/>
      <c r="AM15"/>
    </row>
    <row r="16" spans="1:39" s="8" customFormat="1" ht="30" customHeight="1" x14ac:dyDescent="0.35">
      <c r="A16" s="65" t="s">
        <v>105</v>
      </c>
      <c r="B16" s="65" t="s">
        <v>106</v>
      </c>
      <c r="C16" s="65"/>
      <c r="D16" s="65"/>
      <c r="E16" s="67" t="s">
        <v>107</v>
      </c>
      <c r="F16" s="66">
        <v>505</v>
      </c>
      <c r="G16" s="66">
        <f>183+3+3</f>
        <v>189</v>
      </c>
      <c r="H16" s="11">
        <f t="shared" si="16"/>
        <v>204</v>
      </c>
      <c r="I16" s="14" t="str">
        <f t="shared" si="17"/>
        <v/>
      </c>
      <c r="J16" s="14">
        <f t="shared" si="18"/>
        <v>0.90579710144927539</v>
      </c>
      <c r="K16" s="27">
        <f>IF($AK16&gt;0,(VLOOKUP($B16,'Finish Times'!$A$10:$G$40,6,FALSE)),"")</f>
        <v>48</v>
      </c>
      <c r="L16" s="11">
        <f>IF($AK16&gt;0,(VLOOKUP($B16,'Finish Times'!$A$10:$G$40,7,FALSE)),"")</f>
        <v>18</v>
      </c>
      <c r="M16" s="12">
        <f t="shared" si="0"/>
        <v>43.3</v>
      </c>
      <c r="N16" s="12">
        <f t="shared" si="19"/>
        <v>39.221014492753625</v>
      </c>
      <c r="O16" s="11">
        <f t="shared" si="20"/>
        <v>2</v>
      </c>
      <c r="P16" s="29">
        <f t="shared" si="21"/>
        <v>11.781802427502779</v>
      </c>
      <c r="Q16" s="62">
        <v>11.781802427502779</v>
      </c>
      <c r="R16" s="30">
        <f t="shared" si="22"/>
        <v>678</v>
      </c>
      <c r="S16" s="60"/>
      <c r="T16" s="69" t="s">
        <v>6</v>
      </c>
      <c r="U16" s="42">
        <f t="shared" si="7"/>
        <v>39.221014492753625</v>
      </c>
      <c r="V16" s="42">
        <f t="shared" si="4"/>
        <v>2</v>
      </c>
      <c r="W16" s="34"/>
      <c r="X16" s="34"/>
      <c r="Y16" s="43">
        <f t="shared" si="5"/>
        <v>0.63370004769632438</v>
      </c>
      <c r="Z16" s="44">
        <f t="shared" si="8"/>
        <v>27.439212065250842</v>
      </c>
      <c r="AA16" s="34"/>
      <c r="AB16" s="45">
        <v>7</v>
      </c>
      <c r="AC16" s="45">
        <v>2</v>
      </c>
      <c r="AD16" s="61">
        <v>11.781802427502779</v>
      </c>
      <c r="AE16" s="61">
        <v>11.781802427502779</v>
      </c>
      <c r="AF16"/>
      <c r="AG16"/>
      <c r="AH16" s="27">
        <v>64</v>
      </c>
      <c r="AI16" s="11">
        <v>47</v>
      </c>
      <c r="AJ16"/>
      <c r="AK16" s="11">
        <f>(VLOOKUP($B16,'Finish Times'!$A$10:$G$40,6,FALSE))</f>
        <v>48</v>
      </c>
      <c r="AL16"/>
      <c r="AM16"/>
    </row>
    <row r="17" spans="1:39" s="8" customFormat="1" ht="30" customHeight="1" x14ac:dyDescent="0.35">
      <c r="A17" s="65" t="s">
        <v>111</v>
      </c>
      <c r="B17" s="65" t="s">
        <v>112</v>
      </c>
      <c r="C17" s="65"/>
      <c r="D17" s="65"/>
      <c r="E17" s="67" t="s">
        <v>113</v>
      </c>
      <c r="F17" s="66">
        <v>144</v>
      </c>
      <c r="G17" s="90">
        <f>193+6</f>
        <v>199</v>
      </c>
      <c r="H17" s="11">
        <f t="shared" si="16"/>
        <v>214</v>
      </c>
      <c r="I17" s="14" t="str">
        <f t="shared" si="17"/>
        <v/>
      </c>
      <c r="J17" s="14">
        <f t="shared" si="18"/>
        <v>0.89766606822262118</v>
      </c>
      <c r="K17" s="27" t="str">
        <f>IF($AK17&gt;0,(VLOOKUP($B17,'Finish Times'!$A$10:$G$40,6,FALSE)),"")</f>
        <v/>
      </c>
      <c r="L17" s="11" t="str">
        <f>IF($AK17&gt;0,(VLOOKUP($B17,'Finish Times'!$A$10:$G$40,7,FALSE)),"")</f>
        <v/>
      </c>
      <c r="M17" s="12" t="str">
        <f>IF(AK17&gt;0,(K17+L17/60)-A$3," ")</f>
        <v xml:space="preserve"> </v>
      </c>
      <c r="N17" s="12" t="str">
        <f t="shared" si="19"/>
        <v/>
      </c>
      <c r="O17" s="11" t="str">
        <f t="shared" si="20"/>
        <v/>
      </c>
      <c r="P17" s="29" t="str">
        <f t="shared" si="21"/>
        <v/>
      </c>
      <c r="Q17" s="62" t="s">
        <v>67</v>
      </c>
      <c r="R17" s="30" t="str">
        <f t="shared" si="22"/>
        <v/>
      </c>
      <c r="S17" s="60"/>
      <c r="T17" s="69" t="s">
        <v>6</v>
      </c>
      <c r="U17" s="42" t="str">
        <f t="shared" si="7"/>
        <v/>
      </c>
      <c r="V17" s="42" t="str">
        <f t="shared" si="4"/>
        <v/>
      </c>
      <c r="W17" s="34"/>
      <c r="X17" s="34"/>
      <c r="Y17" s="43" t="str">
        <f t="shared" si="5"/>
        <v/>
      </c>
      <c r="Z17" s="44" t="str">
        <f t="shared" si="8"/>
        <v/>
      </c>
      <c r="AA17" s="34"/>
      <c r="AB17" s="45">
        <v>9</v>
      </c>
      <c r="AC17" s="45" t="s">
        <v>67</v>
      </c>
      <c r="AD17" s="61" t="s">
        <v>67</v>
      </c>
      <c r="AE17" s="61" t="s">
        <v>67</v>
      </c>
      <c r="AF17"/>
      <c r="AG17"/>
      <c r="AH17"/>
      <c r="AI17"/>
      <c r="AJ17"/>
      <c r="AK17" s="11">
        <f>(VLOOKUP($B17,'Finish Times'!$A$10:$G$40,6,FALSE))</f>
        <v>0</v>
      </c>
      <c r="AL17"/>
      <c r="AM17"/>
    </row>
    <row r="18" spans="1:39" s="8" customFormat="1" ht="30" customHeight="1" x14ac:dyDescent="0.35">
      <c r="A18" s="65" t="s">
        <v>122</v>
      </c>
      <c r="B18" s="65" t="s">
        <v>123</v>
      </c>
      <c r="C18" s="65"/>
      <c r="D18" s="65"/>
      <c r="E18" s="67" t="s">
        <v>124</v>
      </c>
      <c r="F18" s="66">
        <v>13</v>
      </c>
      <c r="G18" s="66">
        <f>188+6</f>
        <v>194</v>
      </c>
      <c r="H18" s="11">
        <f t="shared" si="16"/>
        <v>209</v>
      </c>
      <c r="I18" s="14" t="str">
        <f t="shared" si="17"/>
        <v/>
      </c>
      <c r="J18" s="14">
        <f t="shared" si="18"/>
        <v>0.90171325518485124</v>
      </c>
      <c r="K18" s="27" t="str">
        <f>IF($AK18&gt;0,(VLOOKUP($B18,'Finish Times'!$A$10:$G$40,6,FALSE)),"")</f>
        <v/>
      </c>
      <c r="L18" s="11" t="str">
        <f>IF($AK18&gt;0,(VLOOKUP($B18,'Finish Times'!$A$10:$G$40,7,FALSE)),"")</f>
        <v/>
      </c>
      <c r="M18" s="12" t="str">
        <f t="shared" si="0"/>
        <v xml:space="preserve"> </v>
      </c>
      <c r="N18" s="12" t="str">
        <f t="shared" si="19"/>
        <v/>
      </c>
      <c r="O18" s="11" t="str">
        <f t="shared" si="20"/>
        <v/>
      </c>
      <c r="P18" s="29" t="str">
        <f t="shared" si="21"/>
        <v/>
      </c>
      <c r="Q18" s="62" t="s">
        <v>67</v>
      </c>
      <c r="R18" s="30" t="str">
        <f t="shared" si="22"/>
        <v/>
      </c>
      <c r="S18" s="60"/>
      <c r="T18" s="69" t="s">
        <v>6</v>
      </c>
      <c r="U18" s="42" t="str">
        <f t="shared" si="7"/>
        <v/>
      </c>
      <c r="V18" s="42" t="str">
        <f t="shared" si="4"/>
        <v/>
      </c>
      <c r="W18" s="34"/>
      <c r="X18" s="34"/>
      <c r="Y18" s="43" t="str">
        <f t="shared" si="5"/>
        <v/>
      </c>
      <c r="Z18" s="44" t="str">
        <f t="shared" si="8"/>
        <v/>
      </c>
      <c r="AA18" s="34"/>
      <c r="AB18" s="45">
        <v>10</v>
      </c>
      <c r="AC18" s="45" t="s">
        <v>67</v>
      </c>
      <c r="AD18" s="61" t="s">
        <v>67</v>
      </c>
      <c r="AE18" s="61" t="s">
        <v>67</v>
      </c>
      <c r="AF18"/>
      <c r="AG18"/>
      <c r="AH18"/>
      <c r="AI18"/>
      <c r="AJ18"/>
      <c r="AK18" s="11">
        <f>(VLOOKUP($B18,'Finish Times'!$A$10:$G$40,6,FALSE))</f>
        <v>0</v>
      </c>
      <c r="AL18"/>
      <c r="AM18"/>
    </row>
    <row r="19" spans="1:39" s="8" customFormat="1" ht="30" customHeight="1" x14ac:dyDescent="0.35">
      <c r="A19" s="65" t="s">
        <v>117</v>
      </c>
      <c r="B19" s="65" t="s">
        <v>125</v>
      </c>
      <c r="C19" s="65"/>
      <c r="D19" s="65"/>
      <c r="E19" s="67" t="s">
        <v>118</v>
      </c>
      <c r="F19" s="66">
        <v>222</v>
      </c>
      <c r="G19" s="66">
        <f>225+6</f>
        <v>231</v>
      </c>
      <c r="H19" s="11">
        <f t="shared" si="16"/>
        <v>246</v>
      </c>
      <c r="I19" s="14" t="str">
        <f t="shared" si="17"/>
        <v/>
      </c>
      <c r="J19" s="14">
        <f t="shared" si="18"/>
        <v>0.87260034904013961</v>
      </c>
      <c r="K19" s="27" t="str">
        <f>IF($AK19&gt;0,(VLOOKUP($B19,'Finish Times'!$A$10:$G$40,6,FALSE)),"")</f>
        <v/>
      </c>
      <c r="L19" s="11" t="str">
        <f>IF($AK19&gt;0,(VLOOKUP($B19,'Finish Times'!$A$10:$G$40,7,FALSE)),"")</f>
        <v/>
      </c>
      <c r="M19" s="12" t="str">
        <f t="shared" si="0"/>
        <v xml:space="preserve"> </v>
      </c>
      <c r="N19" s="12" t="str">
        <f t="shared" si="19"/>
        <v/>
      </c>
      <c r="O19" s="11" t="str">
        <f t="shared" si="20"/>
        <v/>
      </c>
      <c r="P19" s="29" t="str">
        <f t="shared" si="21"/>
        <v/>
      </c>
      <c r="Q19" s="62" t="s">
        <v>67</v>
      </c>
      <c r="R19" s="30" t="str">
        <f t="shared" si="22"/>
        <v/>
      </c>
      <c r="S19" s="60"/>
      <c r="T19" s="69" t="s">
        <v>6</v>
      </c>
      <c r="U19" s="42" t="str">
        <f t="shared" si="7"/>
        <v/>
      </c>
      <c r="V19" s="42" t="str">
        <f t="shared" si="4"/>
        <v/>
      </c>
      <c r="W19" s="34"/>
      <c r="X19" s="34"/>
      <c r="Y19" s="43" t="str">
        <f t="shared" si="5"/>
        <v/>
      </c>
      <c r="Z19" s="44" t="str">
        <f t="shared" si="8"/>
        <v/>
      </c>
      <c r="AA19" s="34"/>
      <c r="AB19" s="45">
        <v>11</v>
      </c>
      <c r="AC19" s="46" t="s">
        <v>67</v>
      </c>
      <c r="AD19" s="63" t="s">
        <v>67</v>
      </c>
      <c r="AE19" s="61" t="s">
        <v>67</v>
      </c>
      <c r="AK19" s="11">
        <f>(VLOOKUP($B19,'Finish Times'!$A$10:$G$40,6,FALSE))</f>
        <v>0</v>
      </c>
    </row>
    <row r="20" spans="1:39" s="8" customFormat="1" ht="30" customHeight="1" x14ac:dyDescent="0.35">
      <c r="A20" s="65" t="s">
        <v>95</v>
      </c>
      <c r="B20" s="65" t="s">
        <v>160</v>
      </c>
      <c r="C20" s="65"/>
      <c r="D20" s="65"/>
      <c r="E20" s="67" t="s">
        <v>161</v>
      </c>
      <c r="F20" s="66">
        <v>8</v>
      </c>
      <c r="G20" s="66">
        <f>139+3+3+3</f>
        <v>148</v>
      </c>
      <c r="H20" s="11">
        <f>IFERROR(G20+15,"")</f>
        <v>163</v>
      </c>
      <c r="I20" s="14" t="str">
        <f t="shared" si="17"/>
        <v/>
      </c>
      <c r="J20" s="14">
        <f t="shared" si="18"/>
        <v>0.94073377234242705</v>
      </c>
      <c r="K20" s="27" t="str">
        <f>IF($AK20&gt;0,(VLOOKUP($B20,'Finish Times'!$A$10:$G$40,6,FALSE)),"")</f>
        <v/>
      </c>
      <c r="L20" s="11" t="str">
        <f>IF($AK20&gt;0,(VLOOKUP($B20,'Finish Times'!$A$10:$G$40,7,FALSE)),"")</f>
        <v/>
      </c>
      <c r="M20" s="12" t="str">
        <f t="shared" si="0"/>
        <v xml:space="preserve"> </v>
      </c>
      <c r="N20" s="12" t="str">
        <f t="shared" si="19"/>
        <v/>
      </c>
      <c r="O20" s="11" t="str">
        <f t="shared" si="20"/>
        <v/>
      </c>
      <c r="P20" s="29" t="str">
        <f t="shared" si="21"/>
        <v/>
      </c>
      <c r="Q20" s="62" t="s">
        <v>67</v>
      </c>
      <c r="R20" s="30" t="str">
        <f t="shared" si="22"/>
        <v/>
      </c>
      <c r="S20" s="60"/>
      <c r="T20" s="69" t="s">
        <v>6</v>
      </c>
      <c r="U20" s="42" t="str">
        <f t="shared" si="7"/>
        <v/>
      </c>
      <c r="V20" s="42" t="str">
        <f t="shared" si="4"/>
        <v/>
      </c>
      <c r="W20" s="34"/>
      <c r="X20" s="34"/>
      <c r="Y20" s="43" t="str">
        <f t="shared" si="5"/>
        <v/>
      </c>
      <c r="Z20" s="44" t="str">
        <f t="shared" si="8"/>
        <v/>
      </c>
      <c r="AA20" s="34"/>
      <c r="AB20" s="45">
        <v>12</v>
      </c>
      <c r="AC20" s="46" t="s">
        <v>67</v>
      </c>
      <c r="AD20" s="63" t="s">
        <v>67</v>
      </c>
      <c r="AE20" s="61" t="s">
        <v>67</v>
      </c>
      <c r="AK20" s="11">
        <f>(VLOOKUP($B20,'Finish Times'!$A$10:$G$40,6,FALSE))</f>
        <v>0</v>
      </c>
    </row>
    <row r="21" spans="1:39" s="8" customFormat="1" ht="30" customHeight="1" x14ac:dyDescent="0.35">
      <c r="A21" s="65" t="s">
        <v>90</v>
      </c>
      <c r="B21" s="65" t="s">
        <v>155</v>
      </c>
      <c r="C21" s="65"/>
      <c r="D21" s="65"/>
      <c r="E21" s="67" t="s">
        <v>113</v>
      </c>
      <c r="F21" s="66">
        <v>285</v>
      </c>
      <c r="G21" s="66">
        <v>199</v>
      </c>
      <c r="H21" s="11">
        <f>IFERROR(G21+15,"")</f>
        <v>214</v>
      </c>
      <c r="I21" s="14" t="str">
        <f t="shared" ref="I21" si="23">IF(T21 = "s",1000/(900+G21),"")</f>
        <v/>
      </c>
      <c r="J21" s="14">
        <f t="shared" ref="J21:J22" si="24">IF(T21 ="n",1000/(900+H21),"")</f>
        <v>0.89766606822262118</v>
      </c>
      <c r="K21" s="27" t="str">
        <f>IF($AK21&gt;0,(VLOOKUP($B21,'Finish Times'!$A$10:$G$40,6,FALSE)),"")</f>
        <v/>
      </c>
      <c r="L21" s="11" t="str">
        <f>IF($AK21&gt;0,(VLOOKUP($B21,'Finish Times'!$A$10:$G$40,7,FALSE)),"")</f>
        <v/>
      </c>
      <c r="M21" s="12" t="str">
        <f t="shared" ref="M21" si="25">IF(AK21&gt;0,(K21+L21/60)-A$3," ")</f>
        <v xml:space="preserve"> </v>
      </c>
      <c r="N21" s="12" t="str">
        <f t="shared" ref="N21" si="26">IFERROR(U21," ")</f>
        <v/>
      </c>
      <c r="O21" s="11" t="str">
        <f t="shared" ref="O21" si="27">IFERROR(V21," ")</f>
        <v/>
      </c>
      <c r="P21" s="29" t="str">
        <f t="shared" ref="P21" si="28">IFERROR(N21-$Y$2,"")</f>
        <v/>
      </c>
      <c r="Q21" s="62" t="s">
        <v>67</v>
      </c>
      <c r="R21" s="30" t="str">
        <f t="shared" ref="R21" si="29">IFERROR(ROUND((1000/Y21)-900,0),"")</f>
        <v/>
      </c>
      <c r="S21" s="60"/>
      <c r="T21" s="69" t="s">
        <v>6</v>
      </c>
      <c r="U21" s="42" t="str">
        <f t="shared" si="7"/>
        <v/>
      </c>
      <c r="V21" s="42" t="str">
        <f t="shared" si="4"/>
        <v/>
      </c>
      <c r="W21" s="34"/>
      <c r="X21" s="34"/>
      <c r="Y21" s="43" t="str">
        <f t="shared" si="5"/>
        <v/>
      </c>
      <c r="Z21" s="44" t="str">
        <f t="shared" si="8"/>
        <v/>
      </c>
      <c r="AA21" s="34"/>
      <c r="AB21" s="45">
        <v>13</v>
      </c>
      <c r="AC21" s="46" t="s">
        <v>67</v>
      </c>
      <c r="AD21" s="63" t="s">
        <v>67</v>
      </c>
      <c r="AE21" s="61" t="s">
        <v>67</v>
      </c>
      <c r="AK21" s="11">
        <f>(VLOOKUP($B21,'Finish Times'!$A$10:$G$40,6,FALSE))</f>
        <v>0</v>
      </c>
    </row>
    <row r="22" spans="1:39" s="8" customFormat="1" ht="30" customHeight="1" x14ac:dyDescent="0.35">
      <c r="A22" s="65" t="s">
        <v>95</v>
      </c>
      <c r="B22" s="65" t="s">
        <v>165</v>
      </c>
      <c r="C22" s="65"/>
      <c r="D22" s="65"/>
      <c r="E22" s="67" t="s">
        <v>164</v>
      </c>
      <c r="F22" s="66">
        <v>153</v>
      </c>
      <c r="G22" s="66">
        <v>251</v>
      </c>
      <c r="H22" s="11">
        <f>IFERROR(G22+15,"")</f>
        <v>266</v>
      </c>
      <c r="I22" s="14"/>
      <c r="J22" s="14">
        <f t="shared" si="24"/>
        <v>0.85763293310463118</v>
      </c>
      <c r="K22" s="27"/>
      <c r="L22" s="11"/>
      <c r="M22" s="12"/>
      <c r="N22" s="12" t="str">
        <f t="shared" si="1"/>
        <v xml:space="preserve"> </v>
      </c>
      <c r="O22" s="11" t="str">
        <f t="shared" si="1"/>
        <v/>
      </c>
      <c r="P22" s="29" t="str">
        <f t="shared" si="2"/>
        <v/>
      </c>
      <c r="Q22" s="62" t="s">
        <v>67</v>
      </c>
      <c r="R22" s="30" t="str">
        <f t="shared" si="3"/>
        <v/>
      </c>
      <c r="S22" s="60"/>
      <c r="T22" s="69" t="s">
        <v>6</v>
      </c>
      <c r="U22" s="42" t="str">
        <f t="shared" si="7"/>
        <v xml:space="preserve"> </v>
      </c>
      <c r="V22" s="42" t="str">
        <f t="shared" si="4"/>
        <v/>
      </c>
      <c r="W22" s="34"/>
      <c r="X22" s="34"/>
      <c r="Y22" s="43" t="str">
        <f t="shared" si="5"/>
        <v/>
      </c>
      <c r="Z22" s="44" t="str">
        <f t="shared" si="8"/>
        <v/>
      </c>
      <c r="AA22" s="34"/>
      <c r="AB22" s="45">
        <v>14</v>
      </c>
      <c r="AC22" s="46" t="s">
        <v>67</v>
      </c>
      <c r="AD22" s="63" t="s">
        <v>67</v>
      </c>
      <c r="AE22" s="61" t="s">
        <v>67</v>
      </c>
      <c r="AK22" s="11" t="e">
        <f>(VLOOKUP($B22,'Finish Times'!$A$10:$G$40,6,FALSE))</f>
        <v>#N/A</v>
      </c>
    </row>
    <row r="23" spans="1:39" s="8" customFormat="1" ht="30" customHeight="1" x14ac:dyDescent="0.35">
      <c r="A23" s="65"/>
      <c r="B23" s="65"/>
      <c r="C23" s="65"/>
      <c r="D23" s="65"/>
      <c r="E23" s="67"/>
      <c r="F23" s="66"/>
      <c r="G23" s="66"/>
      <c r="H23" s="11"/>
      <c r="I23" s="14"/>
      <c r="J23" s="14"/>
      <c r="K23" s="27"/>
      <c r="L23" s="11"/>
      <c r="M23" s="12"/>
      <c r="N23" s="12" t="str">
        <f t="shared" si="1"/>
        <v xml:space="preserve"> </v>
      </c>
      <c r="O23" s="11" t="str">
        <f t="shared" si="1"/>
        <v/>
      </c>
      <c r="P23" s="29" t="str">
        <f t="shared" si="2"/>
        <v/>
      </c>
      <c r="Q23" s="62" t="s">
        <v>67</v>
      </c>
      <c r="R23" s="30" t="str">
        <f t="shared" si="3"/>
        <v/>
      </c>
      <c r="S23" s="60"/>
      <c r="T23" s="69" t="s">
        <v>6</v>
      </c>
      <c r="U23" s="42" t="str">
        <f t="shared" si="7"/>
        <v xml:space="preserve"> </v>
      </c>
      <c r="V23" s="42" t="str">
        <f t="shared" si="4"/>
        <v/>
      </c>
      <c r="W23" s="34"/>
      <c r="X23" s="34"/>
      <c r="Y23" s="43" t="str">
        <f t="shared" si="5"/>
        <v/>
      </c>
      <c r="Z23" s="44" t="str">
        <f t="shared" si="8"/>
        <v/>
      </c>
      <c r="AA23" s="34"/>
      <c r="AB23" s="45">
        <v>15</v>
      </c>
      <c r="AC23" s="46" t="s">
        <v>67</v>
      </c>
      <c r="AD23" s="63" t="s">
        <v>67</v>
      </c>
      <c r="AE23" s="61" t="s">
        <v>67</v>
      </c>
      <c r="AK23" s="11" t="e">
        <f>(VLOOKUP($B23,'Finish Times'!$A$10:$G$40,6,FALSE))</f>
        <v>#N/A</v>
      </c>
    </row>
    <row r="24" spans="1:39" s="8" customFormat="1" ht="31.2" x14ac:dyDescent="0.6">
      <c r="A24" s="10" t="s">
        <v>5</v>
      </c>
      <c r="B24" s="10"/>
      <c r="C24" s="10"/>
      <c r="D24" s="10"/>
      <c r="E24" s="10"/>
      <c r="F24" s="10"/>
      <c r="G24" s="10"/>
      <c r="H24" s="10"/>
      <c r="I24" s="10"/>
      <c r="J24" s="10"/>
      <c r="K24" s="6"/>
      <c r="L24" s="6"/>
      <c r="M24" s="7"/>
      <c r="N24" s="9" t="s">
        <v>149</v>
      </c>
      <c r="Q24" s="62" t="s">
        <v>67</v>
      </c>
      <c r="AB24" s="45">
        <v>16</v>
      </c>
      <c r="AE24" s="61" t="s">
        <v>67</v>
      </c>
      <c r="AK24" s="11" t="e">
        <f>(VLOOKUP($B24,'Finish Times'!$A$10:$G$40,6,FALSE))</f>
        <v>#N/A</v>
      </c>
    </row>
    <row r="25" spans="1:39" ht="18" x14ac:dyDescent="0.35">
      <c r="A25" s="6" t="s">
        <v>4</v>
      </c>
      <c r="B25" s="6"/>
      <c r="C25" s="6"/>
      <c r="D25" s="6"/>
      <c r="E25" s="6"/>
      <c r="F25" s="6"/>
      <c r="G25" s="6"/>
      <c r="H25" s="6"/>
      <c r="I25" s="6"/>
      <c r="J25" s="6"/>
      <c r="K25" s="6"/>
      <c r="L25" s="6"/>
      <c r="M25" s="7"/>
      <c r="N25" s="7"/>
      <c r="O25" s="5"/>
      <c r="Q25" s="62">
        <v>0</v>
      </c>
      <c r="Y25" s="20"/>
      <c r="AB25" s="45">
        <v>17</v>
      </c>
      <c r="AE25" s="61">
        <v>0</v>
      </c>
      <c r="AK25" s="11" t="e">
        <f>(VLOOKUP($B25,'Finish Times'!$A$10:$G$40,6,FALSE))</f>
        <v>#N/A</v>
      </c>
    </row>
    <row r="26" spans="1:39" ht="18" x14ac:dyDescent="0.35">
      <c r="A26" s="6" t="s">
        <v>3</v>
      </c>
      <c r="B26" s="6"/>
      <c r="C26" s="6"/>
      <c r="D26" s="6"/>
      <c r="E26" s="6"/>
      <c r="F26" s="6"/>
      <c r="G26" s="6"/>
      <c r="H26" s="6"/>
      <c r="I26" s="6"/>
      <c r="J26" s="6"/>
      <c r="K26" s="6"/>
      <c r="L26" s="6"/>
      <c r="M26" s="5"/>
      <c r="N26" s="5"/>
      <c r="O26" s="5"/>
      <c r="Q26" s="62">
        <v>0</v>
      </c>
      <c r="AB26" s="45">
        <v>18</v>
      </c>
      <c r="AE26" s="61">
        <v>0</v>
      </c>
      <c r="AK26" s="11" t="e">
        <f>(VLOOKUP($B26,'Finish Times'!$A$10:$G$40,6,FALSE))</f>
        <v>#N/A</v>
      </c>
    </row>
    <row r="27" spans="1:39" ht="18" x14ac:dyDescent="0.35">
      <c r="A27" s="6" t="s">
        <v>2</v>
      </c>
      <c r="B27" s="6"/>
      <c r="C27" s="6"/>
      <c r="D27" s="6"/>
      <c r="E27" s="6"/>
      <c r="F27" s="6"/>
      <c r="G27" s="6"/>
      <c r="H27" s="6"/>
      <c r="I27" s="6"/>
      <c r="J27" s="6"/>
      <c r="K27" s="6"/>
      <c r="L27" s="6"/>
      <c r="M27" s="5"/>
      <c r="N27" s="5"/>
      <c r="O27" s="5"/>
      <c r="Q27" s="62">
        <v>0</v>
      </c>
      <c r="AB27" s="45">
        <v>19</v>
      </c>
      <c r="AE27" s="61">
        <v>0</v>
      </c>
      <c r="AK27" s="11" t="e">
        <f>(VLOOKUP($B27,'Finish Times'!$A$10:$G$40,6,FALSE))</f>
        <v>#N/A</v>
      </c>
    </row>
    <row r="28" spans="1:39" ht="18" x14ac:dyDescent="0.35">
      <c r="Q28" s="62">
        <v>0</v>
      </c>
      <c r="AE28" s="61">
        <v>0</v>
      </c>
    </row>
    <row r="29" spans="1:39" ht="30" customHeight="1" x14ac:dyDescent="1.1000000000000001">
      <c r="A29" s="4" t="s">
        <v>99</v>
      </c>
      <c r="B29" s="4"/>
      <c r="C29" s="4"/>
      <c r="D29" s="4"/>
      <c r="E29" s="4"/>
      <c r="F29" s="4"/>
      <c r="G29" s="4"/>
      <c r="H29" s="4"/>
      <c r="I29" s="4"/>
      <c r="J29" s="4"/>
      <c r="K29" s="4"/>
      <c r="L29" s="4"/>
      <c r="M29" s="4" t="s">
        <v>0</v>
      </c>
      <c r="N29" s="3"/>
      <c r="O29" s="2"/>
    </row>
  </sheetData>
  <sortState ref="AB10:AE28">
    <sortCondition ref="AB10:AB28"/>
  </sortState>
  <mergeCells count="7">
    <mergeCell ref="A5:O5"/>
    <mergeCell ref="A6:O6"/>
    <mergeCell ref="A7:O7"/>
    <mergeCell ref="T7:V7"/>
    <mergeCell ref="G8:H8"/>
    <mergeCell ref="I8:J8"/>
    <mergeCell ref="K8:L8"/>
  </mergeCells>
  <printOptions horizontalCentered="1" verticalCentered="1"/>
  <pageMargins left="0.2" right="0.2" top="0.75" bottom="0.5" header="0.3" footer="0.05"/>
  <pageSetup scale="7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Finish Times</vt:lpstr>
      <vt:lpstr>Finish Times (2)</vt:lpstr>
      <vt:lpstr>Fleet 2</vt:lpstr>
      <vt:lpstr>Fleet 3</vt:lpstr>
      <vt:lpstr>Fleet 1</vt:lpstr>
      <vt:lpstr>Fleet 4</vt:lpstr>
      <vt:lpstr>Fleet 1 and 2 Combo</vt:lpstr>
      <vt:lpstr>Fleet 3 and 4 Combo</vt:lpstr>
      <vt:lpstr>'Fleet 1'!Print_Area</vt:lpstr>
      <vt:lpstr>'Fleet 1 and 2 Combo'!Print_Area</vt:lpstr>
      <vt:lpstr>'Fleet 2'!Print_Area</vt:lpstr>
      <vt:lpstr>'Fleet 3'!Print_Area</vt:lpstr>
      <vt:lpstr>'Fleet 3 and 4 Combo'!Print_Area</vt:lpstr>
      <vt:lpstr>'Fleet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Maloney</dc:creator>
  <cp:lastModifiedBy>Owner</cp:lastModifiedBy>
  <cp:lastPrinted>2016-09-09T22:28:59Z</cp:lastPrinted>
  <dcterms:created xsi:type="dcterms:W3CDTF">2015-01-20T21:42:42Z</dcterms:created>
  <dcterms:modified xsi:type="dcterms:W3CDTF">2016-09-26T01:56:10Z</dcterms:modified>
</cp:coreProperties>
</file>